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925" yWindow="510" windowWidth="20610" windowHeight="9585" tabRatio="675" firstSheet="2" activeTab="9"/>
  </bookViews>
  <sheets>
    <sheet name="README" sheetId="11" r:id="rId1"/>
    <sheet name="SUMMARY_SCORES" sheetId="20" r:id="rId2"/>
    <sheet name="VEG_DATA" sheetId="8" r:id="rId3"/>
    <sheet name="Bird_Office" sheetId="3" r:id="rId4"/>
    <sheet name="Bird_Field" sheetId="1" r:id="rId5"/>
    <sheet name="Bird_Score" sheetId="10" r:id="rId6"/>
    <sheet name="FISH_OFFICE" sheetId="24" r:id="rId7"/>
    <sheet name="FISH_FIELD" sheetId="25" r:id="rId8"/>
    <sheet name="FISH_SCORE" sheetId="26" r:id="rId9"/>
    <sheet name="FLOOD_OFFICE" sheetId="21" r:id="rId10"/>
    <sheet name="FLOOD_FIELD" sheetId="22" r:id="rId11"/>
    <sheet name="FLOOD_SCORE" sheetId="23" r:id="rId12"/>
    <sheet name="Veg_Parameters" sheetId="4" r:id="rId13"/>
    <sheet name="FloodAttenLSLandUse" sheetId="27" r:id="rId14"/>
    <sheet name="Sheet1" sheetId="28" r:id="rId15"/>
    <sheet name="Sheet3" sheetId="30" r:id="rId16"/>
    <sheet name="Sheet4" sheetId="31" r:id="rId17"/>
  </sheets>
  <definedNames>
    <definedName name="_ftn1" localSheetId="12">Veg_Parameters!$F$4</definedName>
    <definedName name="_ftnref1" localSheetId="12">Veg_Parameters!#REF!</definedName>
    <definedName name="OLE_LINK3" localSheetId="4">Bird_Field!#REF!</definedName>
    <definedName name="OLE_LINK5" localSheetId="3">Bird_Office!#REF!</definedName>
    <definedName name="_xlnm.Print_Area" localSheetId="4">Bird_Field!$A$1:$D$14</definedName>
    <definedName name="_xlnm.Print_Area" localSheetId="3">Bird_Office!$A$4:$F$27</definedName>
    <definedName name="_xlnm.Print_Area" localSheetId="5">Bird_Score!$A$20:$J$47</definedName>
    <definedName name="_xlnm.Print_Area" localSheetId="2">VEG_DATA!$A$1:$BZ$39</definedName>
    <definedName name="_xlnm.Print_Area" localSheetId="12">Veg_Parameters!$A$1:$H$25</definedName>
    <definedName name="_xlnm.Print_Titles" localSheetId="4">Bird_Field!#REF!</definedName>
    <definedName name="_xlnm.Print_Titles" localSheetId="5">Bird_Score!$4:$4</definedName>
  </definedNames>
  <calcPr calcId="144525"/>
</workbook>
</file>

<file path=xl/calcChain.xml><?xml version="1.0" encoding="utf-8"?>
<calcChain xmlns="http://schemas.openxmlformats.org/spreadsheetml/2006/main">
  <c r="D30" i="23" l="1"/>
  <c r="D29" i="23"/>
  <c r="F29" i="23" s="1"/>
  <c r="H29" i="23" s="1"/>
  <c r="G38" i="23"/>
  <c r="D36" i="23"/>
  <c r="D20" i="23"/>
  <c r="D19" i="23"/>
  <c r="F19" i="23" s="1"/>
  <c r="H19" i="23" s="1"/>
  <c r="D18" i="23"/>
  <c r="D17" i="23"/>
  <c r="F17" i="23" s="1"/>
  <c r="H17" i="23" s="1"/>
  <c r="D15" i="23"/>
  <c r="D14" i="23"/>
  <c r="F14" i="23" s="1"/>
  <c r="H14" i="23" s="1"/>
  <c r="D13" i="23"/>
  <c r="F13" i="23" s="1"/>
  <c r="H13" i="23" s="1"/>
  <c r="G42" i="22"/>
  <c r="D28" i="23" s="1"/>
  <c r="G41" i="22"/>
  <c r="G40" i="22"/>
  <c r="G39" i="22"/>
  <c r="F7" i="21"/>
  <c r="F35" i="22" s="1"/>
  <c r="D8" i="23"/>
  <c r="F8" i="23" s="1"/>
  <c r="F18" i="23"/>
  <c r="H18" i="23" s="1"/>
  <c r="F15" i="23"/>
  <c r="H15" i="23" s="1"/>
  <c r="F61" i="22"/>
  <c r="F64" i="22" s="1"/>
  <c r="G64" i="22" s="1"/>
  <c r="E33" i="22"/>
  <c r="F32" i="22"/>
  <c r="F29" i="22"/>
  <c r="F41" i="22" s="1"/>
  <c r="F28" i="22"/>
  <c r="F40" i="22" s="1"/>
  <c r="F27" i="22"/>
  <c r="F39" i="22" s="1"/>
  <c r="F19" i="22"/>
  <c r="F18" i="22"/>
  <c r="F17" i="22"/>
  <c r="F16" i="22"/>
  <c r="F15" i="22"/>
  <c r="F14" i="22"/>
  <c r="F13" i="22"/>
  <c r="F10" i="22"/>
  <c r="E26" i="22"/>
  <c r="F25" i="22"/>
  <c r="F24" i="22"/>
  <c r="F42" i="22" l="1"/>
  <c r="F60" i="22"/>
  <c r="F63" i="22" s="1"/>
  <c r="G63" i="22" s="1"/>
  <c r="F62" i="22"/>
  <c r="F65" i="22" s="1"/>
  <c r="G65" i="22" s="1"/>
  <c r="F34" i="22"/>
  <c r="G66" i="22" l="1"/>
  <c r="D34" i="23" s="1"/>
  <c r="F34" i="23" s="1"/>
  <c r="H34" i="23" s="1"/>
  <c r="AF18" i="26"/>
  <c r="AC18" i="26"/>
  <c r="Z18" i="26"/>
  <c r="W18" i="26"/>
  <c r="T18" i="26"/>
  <c r="Q18" i="26"/>
  <c r="N18" i="26"/>
  <c r="K18" i="26"/>
  <c r="H18" i="26"/>
  <c r="E18" i="26"/>
  <c r="AF20" i="10"/>
  <c r="AC20" i="10"/>
  <c r="Z20" i="10"/>
  <c r="W20" i="10"/>
  <c r="T20" i="10"/>
  <c r="Q20" i="10"/>
  <c r="N20" i="10"/>
  <c r="K20" i="10"/>
  <c r="H20" i="10"/>
  <c r="E20" i="10"/>
  <c r="AG43" i="10" l="1"/>
  <c r="AF43" i="10"/>
  <c r="E43" i="10"/>
  <c r="F43" i="10" s="1"/>
  <c r="H42" i="10"/>
  <c r="AF42" i="10"/>
  <c r="AC42" i="10"/>
  <c r="Z42" i="10"/>
  <c r="W42" i="10"/>
  <c r="T42" i="10"/>
  <c r="Q42" i="10"/>
  <c r="N42" i="10"/>
  <c r="K42" i="10"/>
  <c r="E42" i="10"/>
  <c r="AF41" i="10"/>
  <c r="AC41" i="10"/>
  <c r="Z41" i="10"/>
  <c r="W41" i="10"/>
  <c r="T41" i="10"/>
  <c r="Q41" i="10"/>
  <c r="N41" i="10"/>
  <c r="K41" i="10"/>
  <c r="H41" i="10"/>
  <c r="E41" i="10"/>
  <c r="A14" i="20"/>
  <c r="A13" i="20"/>
  <c r="A12" i="20"/>
  <c r="A11" i="20"/>
  <c r="A10" i="20"/>
  <c r="A9" i="20"/>
  <c r="A8" i="20"/>
  <c r="A7" i="20"/>
  <c r="E30" i="26"/>
  <c r="F30" i="26" s="1"/>
  <c r="AF36" i="26"/>
  <c r="AC36" i="26"/>
  <c r="Z36" i="26"/>
  <c r="W36" i="26"/>
  <c r="T36" i="26"/>
  <c r="Q36" i="26"/>
  <c r="N36" i="26"/>
  <c r="K36" i="26"/>
  <c r="H36" i="26"/>
  <c r="E36" i="26"/>
  <c r="AF35" i="26"/>
  <c r="AC35" i="26"/>
  <c r="Z35" i="26"/>
  <c r="W35" i="26"/>
  <c r="T35" i="26"/>
  <c r="Q35" i="26"/>
  <c r="N35" i="26"/>
  <c r="K35" i="26"/>
  <c r="H35" i="26"/>
  <c r="E35" i="26"/>
  <c r="AF28" i="26"/>
  <c r="AC28" i="26"/>
  <c r="Z28" i="26"/>
  <c r="W28" i="26"/>
  <c r="T28" i="26"/>
  <c r="Q28" i="26"/>
  <c r="N28" i="26"/>
  <c r="K28" i="26"/>
  <c r="H28" i="26"/>
  <c r="E28" i="26"/>
  <c r="E8" i="26" l="1"/>
  <c r="E52" i="22" l="1"/>
  <c r="D44" i="10" l="1"/>
  <c r="D31" i="10"/>
  <c r="D23" i="10"/>
  <c r="E16" i="10"/>
  <c r="AG36" i="26" l="1"/>
  <c r="AH36" i="26" s="1"/>
  <c r="AA36" i="26"/>
  <c r="AB36" i="26" s="1"/>
  <c r="X36" i="26"/>
  <c r="Y36" i="26" s="1"/>
  <c r="U36" i="26"/>
  <c r="V36" i="26" s="1"/>
  <c r="R36" i="26"/>
  <c r="S36" i="26" s="1"/>
  <c r="O36" i="26"/>
  <c r="P36" i="26" s="1"/>
  <c r="L36" i="26"/>
  <c r="M36" i="26" s="1"/>
  <c r="AD35" i="26"/>
  <c r="AE35" i="26" s="1"/>
  <c r="AA35" i="26"/>
  <c r="AB35" i="26" s="1"/>
  <c r="X35" i="26"/>
  <c r="Y35" i="26" s="1"/>
  <c r="U35" i="26"/>
  <c r="V35" i="26" s="1"/>
  <c r="R35" i="26"/>
  <c r="S35" i="26" s="1"/>
  <c r="O35" i="26"/>
  <c r="P35" i="26" s="1"/>
  <c r="I35" i="26"/>
  <c r="J35" i="26" s="1"/>
  <c r="AF38" i="26"/>
  <c r="AG38" i="26" s="1"/>
  <c r="AH38" i="26" s="1"/>
  <c r="AC38" i="26"/>
  <c r="AD38" i="26" s="1"/>
  <c r="AE38" i="26" s="1"/>
  <c r="Z38" i="26"/>
  <c r="AA38" i="26" s="1"/>
  <c r="AB38" i="26" s="1"/>
  <c r="W38" i="26"/>
  <c r="X38" i="26" s="1"/>
  <c r="Y38" i="26" s="1"/>
  <c r="T38" i="26"/>
  <c r="U38" i="26" s="1"/>
  <c r="V38" i="26" s="1"/>
  <c r="Q38" i="26"/>
  <c r="R38" i="26" s="1"/>
  <c r="S38" i="26" s="1"/>
  <c r="N38" i="26"/>
  <c r="O38" i="26" s="1"/>
  <c r="P38" i="26" s="1"/>
  <c r="K38" i="26"/>
  <c r="L38" i="26" s="1"/>
  <c r="M38" i="26" s="1"/>
  <c r="H38" i="26"/>
  <c r="I38" i="26" s="1"/>
  <c r="J38" i="26" s="1"/>
  <c r="E38" i="26"/>
  <c r="F38" i="26" s="1"/>
  <c r="G38" i="26" s="1"/>
  <c r="AF37" i="26"/>
  <c r="AG37" i="26" s="1"/>
  <c r="AH37" i="26" s="1"/>
  <c r="AC37" i="26"/>
  <c r="AD37" i="26" s="1"/>
  <c r="AE37" i="26" s="1"/>
  <c r="Z37" i="26"/>
  <c r="AA37" i="26" s="1"/>
  <c r="AB37" i="26" s="1"/>
  <c r="W37" i="26"/>
  <c r="X37" i="26" s="1"/>
  <c r="Y37" i="26" s="1"/>
  <c r="T37" i="26"/>
  <c r="U37" i="26" s="1"/>
  <c r="V37" i="26" s="1"/>
  <c r="Q37" i="26"/>
  <c r="R37" i="26" s="1"/>
  <c r="S37" i="26" s="1"/>
  <c r="N37" i="26"/>
  <c r="O37" i="26" s="1"/>
  <c r="P37" i="26" s="1"/>
  <c r="K37" i="26"/>
  <c r="L37" i="26" s="1"/>
  <c r="M37" i="26" s="1"/>
  <c r="H37" i="26"/>
  <c r="I37" i="26" s="1"/>
  <c r="J37" i="26" s="1"/>
  <c r="E37" i="26"/>
  <c r="F37" i="26" s="1"/>
  <c r="G37" i="26" s="1"/>
  <c r="AF34" i="26"/>
  <c r="AG34" i="26" s="1"/>
  <c r="AH34" i="26" s="1"/>
  <c r="AC34" i="26"/>
  <c r="AD34" i="26" s="1"/>
  <c r="AE34" i="26" s="1"/>
  <c r="Z34" i="26"/>
  <c r="AA34" i="26" s="1"/>
  <c r="AB34" i="26" s="1"/>
  <c r="W34" i="26"/>
  <c r="X34" i="26" s="1"/>
  <c r="Y34" i="26" s="1"/>
  <c r="T34" i="26"/>
  <c r="U34" i="26" s="1"/>
  <c r="V34" i="26" s="1"/>
  <c r="Q34" i="26"/>
  <c r="R34" i="26" s="1"/>
  <c r="S34" i="26" s="1"/>
  <c r="N34" i="26"/>
  <c r="O34" i="26" s="1"/>
  <c r="P34" i="26" s="1"/>
  <c r="K34" i="26"/>
  <c r="L34" i="26" s="1"/>
  <c r="M34" i="26" s="1"/>
  <c r="H34" i="26"/>
  <c r="I34" i="26" s="1"/>
  <c r="J34" i="26" s="1"/>
  <c r="E34" i="26"/>
  <c r="F34" i="26" s="1"/>
  <c r="G34" i="26" s="1"/>
  <c r="AF32" i="26"/>
  <c r="AG32" i="26" s="1"/>
  <c r="AH32" i="26" s="1"/>
  <c r="AC32" i="26"/>
  <c r="AD32" i="26" s="1"/>
  <c r="AE32" i="26" s="1"/>
  <c r="Z32" i="26"/>
  <c r="AA32" i="26" s="1"/>
  <c r="AB32" i="26" s="1"/>
  <c r="W32" i="26"/>
  <c r="X32" i="26" s="1"/>
  <c r="Y32" i="26" s="1"/>
  <c r="T32" i="26"/>
  <c r="U32" i="26" s="1"/>
  <c r="V32" i="26" s="1"/>
  <c r="Q32" i="26"/>
  <c r="R32" i="26" s="1"/>
  <c r="S32" i="26" s="1"/>
  <c r="N32" i="26"/>
  <c r="O32" i="26" s="1"/>
  <c r="P32" i="26" s="1"/>
  <c r="K32" i="26"/>
  <c r="L32" i="26" s="1"/>
  <c r="M32" i="26" s="1"/>
  <c r="H32" i="26"/>
  <c r="I32" i="26" s="1"/>
  <c r="J32" i="26" s="1"/>
  <c r="E32" i="26"/>
  <c r="F32" i="26" s="1"/>
  <c r="G32" i="26" s="1"/>
  <c r="AF31" i="26"/>
  <c r="AG31" i="26" s="1"/>
  <c r="AH31" i="26" s="1"/>
  <c r="AC31" i="26"/>
  <c r="AD31" i="26" s="1"/>
  <c r="AE31" i="26" s="1"/>
  <c r="Z31" i="26"/>
  <c r="AA31" i="26" s="1"/>
  <c r="AB31" i="26" s="1"/>
  <c r="W31" i="26"/>
  <c r="X31" i="26" s="1"/>
  <c r="Y31" i="26" s="1"/>
  <c r="T31" i="26"/>
  <c r="U31" i="26" s="1"/>
  <c r="V31" i="26" s="1"/>
  <c r="Q31" i="26"/>
  <c r="R31" i="26" s="1"/>
  <c r="S31" i="26" s="1"/>
  <c r="N31" i="26"/>
  <c r="O31" i="26" s="1"/>
  <c r="P31" i="26" s="1"/>
  <c r="K31" i="26"/>
  <c r="L31" i="26" s="1"/>
  <c r="M31" i="26" s="1"/>
  <c r="H31" i="26"/>
  <c r="I31" i="26" s="1"/>
  <c r="J31" i="26" s="1"/>
  <c r="E31" i="26"/>
  <c r="F31" i="26" s="1"/>
  <c r="G31" i="26" s="1"/>
  <c r="AF30" i="26"/>
  <c r="AG30" i="26" s="1"/>
  <c r="AC30" i="26"/>
  <c r="Z30" i="26"/>
  <c r="W30" i="26"/>
  <c r="T30" i="26"/>
  <c r="Q30" i="26"/>
  <c r="N30" i="26"/>
  <c r="K30" i="26"/>
  <c r="H30" i="26"/>
  <c r="AG28" i="26"/>
  <c r="AH28" i="26" s="1"/>
  <c r="AD28" i="26"/>
  <c r="AE28" i="26" s="1"/>
  <c r="AA28" i="26"/>
  <c r="AB28" i="26" s="1"/>
  <c r="X28" i="26"/>
  <c r="Y28" i="26" s="1"/>
  <c r="U28" i="26"/>
  <c r="V28" i="26" s="1"/>
  <c r="R28" i="26"/>
  <c r="S28" i="26" s="1"/>
  <c r="O28" i="26"/>
  <c r="P28" i="26" s="1"/>
  <c r="L28" i="26"/>
  <c r="M28" i="26" s="1"/>
  <c r="I28" i="26"/>
  <c r="J28" i="26" s="1"/>
  <c r="AF27" i="26"/>
  <c r="AG27" i="26" s="1"/>
  <c r="AH27" i="26" s="1"/>
  <c r="AC27" i="26"/>
  <c r="AD27" i="26" s="1"/>
  <c r="AE27" i="26" s="1"/>
  <c r="Z27" i="26"/>
  <c r="AA27" i="26" s="1"/>
  <c r="AB27" i="26" s="1"/>
  <c r="W27" i="26"/>
  <c r="X27" i="26" s="1"/>
  <c r="Y27" i="26" s="1"/>
  <c r="T27" i="26"/>
  <c r="U27" i="26" s="1"/>
  <c r="V27" i="26" s="1"/>
  <c r="Q27" i="26"/>
  <c r="R27" i="26" s="1"/>
  <c r="S27" i="26" s="1"/>
  <c r="N27" i="26"/>
  <c r="O27" i="26" s="1"/>
  <c r="P27" i="26" s="1"/>
  <c r="K27" i="26"/>
  <c r="L27" i="26" s="1"/>
  <c r="M27" i="26" s="1"/>
  <c r="H27" i="26"/>
  <c r="I27" i="26" s="1"/>
  <c r="J27" i="26" s="1"/>
  <c r="AF26" i="26"/>
  <c r="AG26" i="26" s="1"/>
  <c r="AH26" i="26" s="1"/>
  <c r="AC26" i="26"/>
  <c r="AD26" i="26" s="1"/>
  <c r="AE26" i="26" s="1"/>
  <c r="Z26" i="26"/>
  <c r="AA26" i="26" s="1"/>
  <c r="AB26" i="26" s="1"/>
  <c r="W26" i="26"/>
  <c r="X26" i="26" s="1"/>
  <c r="Y26" i="26" s="1"/>
  <c r="T26" i="26"/>
  <c r="U26" i="26" s="1"/>
  <c r="V26" i="26" s="1"/>
  <c r="Q26" i="26"/>
  <c r="R26" i="26" s="1"/>
  <c r="S26" i="26" s="1"/>
  <c r="N26" i="26"/>
  <c r="O26" i="26" s="1"/>
  <c r="P26" i="26" s="1"/>
  <c r="K26" i="26"/>
  <c r="L26" i="26" s="1"/>
  <c r="M26" i="26" s="1"/>
  <c r="H26" i="26"/>
  <c r="I26" i="26" s="1"/>
  <c r="J26" i="26" s="1"/>
  <c r="AF25" i="26"/>
  <c r="AG25" i="26" s="1"/>
  <c r="AH25" i="26" s="1"/>
  <c r="AC25" i="26"/>
  <c r="AD25" i="26" s="1"/>
  <c r="AE25" i="26" s="1"/>
  <c r="Z25" i="26"/>
  <c r="AA25" i="26" s="1"/>
  <c r="AB25" i="26" s="1"/>
  <c r="T25" i="26"/>
  <c r="U25" i="26" s="1"/>
  <c r="V25" i="26" s="1"/>
  <c r="Q25" i="26"/>
  <c r="R25" i="26" s="1"/>
  <c r="S25" i="26" s="1"/>
  <c r="N25" i="26"/>
  <c r="O25" i="26" s="1"/>
  <c r="P25" i="26" s="1"/>
  <c r="K25" i="26"/>
  <c r="L25" i="26" s="1"/>
  <c r="M25" i="26" s="1"/>
  <c r="W25" i="26"/>
  <c r="X25" i="26" s="1"/>
  <c r="Y25" i="26" s="1"/>
  <c r="H25" i="26"/>
  <c r="I25" i="26" s="1"/>
  <c r="J25" i="26" s="1"/>
  <c r="AG35" i="26"/>
  <c r="AH35" i="26" s="1"/>
  <c r="AD36" i="26"/>
  <c r="AE36" i="26" s="1"/>
  <c r="L35" i="26"/>
  <c r="M35" i="26" s="1"/>
  <c r="I36" i="26"/>
  <c r="J36" i="26" s="1"/>
  <c r="AA30" i="26" l="1"/>
  <c r="AB30" i="26" s="1"/>
  <c r="R30" i="26"/>
  <c r="S30" i="26" s="1"/>
  <c r="AD30" i="26"/>
  <c r="AE30" i="26" s="1"/>
  <c r="L30" i="26"/>
  <c r="M30" i="26" s="1"/>
  <c r="X30" i="26"/>
  <c r="Y30" i="26" s="1"/>
  <c r="O30" i="26"/>
  <c r="P30" i="26" s="1"/>
  <c r="I30" i="26"/>
  <c r="J30" i="26" s="1"/>
  <c r="U30" i="26"/>
  <c r="V30" i="26" s="1"/>
  <c r="AH30" i="26"/>
  <c r="F36" i="26"/>
  <c r="G36" i="26" s="1"/>
  <c r="F35" i="26"/>
  <c r="G35" i="26" s="1"/>
  <c r="F28" i="26"/>
  <c r="G28" i="26" s="1"/>
  <c r="E27" i="26"/>
  <c r="F27" i="26" s="1"/>
  <c r="G27" i="26" s="1"/>
  <c r="E26" i="26"/>
  <c r="F26" i="26" s="1"/>
  <c r="G26" i="26" s="1"/>
  <c r="E25" i="26"/>
  <c r="F25" i="26" s="1"/>
  <c r="G25" i="26" s="1"/>
  <c r="AF23" i="26"/>
  <c r="AG23" i="26" s="1"/>
  <c r="AH23" i="26" s="1"/>
  <c r="AC23" i="26"/>
  <c r="AD23" i="26" s="1"/>
  <c r="AE23" i="26" s="1"/>
  <c r="Z23" i="26"/>
  <c r="AA23" i="26" s="1"/>
  <c r="AB23" i="26" s="1"/>
  <c r="W23" i="26"/>
  <c r="X23" i="26" s="1"/>
  <c r="Y23" i="26" s="1"/>
  <c r="T23" i="26"/>
  <c r="U23" i="26" s="1"/>
  <c r="V23" i="26" s="1"/>
  <c r="Q23" i="26"/>
  <c r="R23" i="26" s="1"/>
  <c r="S23" i="26" s="1"/>
  <c r="N23" i="26"/>
  <c r="O23" i="26" s="1"/>
  <c r="P23" i="26" s="1"/>
  <c r="K23" i="26"/>
  <c r="L23" i="26" s="1"/>
  <c r="M23" i="26" s="1"/>
  <c r="H23" i="26"/>
  <c r="I23" i="26" s="1"/>
  <c r="J23" i="26" s="1"/>
  <c r="E23" i="26"/>
  <c r="AF20" i="26"/>
  <c r="AG20" i="26" s="1"/>
  <c r="AH20" i="26" s="1"/>
  <c r="AC20" i="26"/>
  <c r="AD20" i="26" s="1"/>
  <c r="AE20" i="26" s="1"/>
  <c r="Z20" i="26"/>
  <c r="AA20" i="26" s="1"/>
  <c r="AB20" i="26" s="1"/>
  <c r="W20" i="26"/>
  <c r="X20" i="26" s="1"/>
  <c r="Y20" i="26" s="1"/>
  <c r="T20" i="26"/>
  <c r="U20" i="26" s="1"/>
  <c r="V20" i="26" s="1"/>
  <c r="Q20" i="26"/>
  <c r="R20" i="26" s="1"/>
  <c r="S20" i="26" s="1"/>
  <c r="N20" i="26"/>
  <c r="O20" i="26" s="1"/>
  <c r="P20" i="26" s="1"/>
  <c r="K20" i="26"/>
  <c r="L20" i="26" s="1"/>
  <c r="M20" i="26" s="1"/>
  <c r="H20" i="26"/>
  <c r="I20" i="26" s="1"/>
  <c r="J20" i="26" s="1"/>
  <c r="E20" i="26"/>
  <c r="F20" i="26" s="1"/>
  <c r="G20" i="26" s="1"/>
  <c r="D14" i="26"/>
  <c r="G30" i="26" l="1"/>
  <c r="F23" i="26"/>
  <c r="G23" i="26" s="1"/>
  <c r="E7" i="26" l="1"/>
  <c r="F7" i="26" s="1"/>
  <c r="D8" i="26" l="1"/>
  <c r="D9" i="26" s="1"/>
  <c r="F8" i="26" l="1"/>
  <c r="F9" i="26" s="1"/>
  <c r="C18" i="20" s="1"/>
  <c r="CO307" i="8"/>
  <c r="CN307" i="8"/>
  <c r="CM307" i="8"/>
  <c r="CL307" i="8"/>
  <c r="CF307" i="8"/>
  <c r="CA307" i="8"/>
  <c r="BP307" i="8"/>
  <c r="BN307" i="8"/>
  <c r="BI307" i="8"/>
  <c r="BH307" i="8"/>
  <c r="BF307" i="8"/>
  <c r="BC307" i="8"/>
  <c r="AV307" i="8"/>
  <c r="AU307" i="8"/>
  <c r="AS307" i="8"/>
  <c r="AN307" i="8"/>
  <c r="AM307" i="8"/>
  <c r="AK307" i="8"/>
  <c r="AH307" i="8"/>
  <c r="BE307" i="8" s="1"/>
  <c r="BJ307" i="8" s="1"/>
  <c r="BK307" i="8" s="1"/>
  <c r="BU307" i="8" s="1"/>
  <c r="AG307" i="8"/>
  <c r="AF307" i="8"/>
  <c r="AE307" i="8"/>
  <c r="AD307" i="8"/>
  <c r="AC307" i="8"/>
  <c r="AB307" i="8"/>
  <c r="AT307" i="8" s="1"/>
  <c r="AW307" i="8" s="1"/>
  <c r="AX307" i="8" s="1"/>
  <c r="AA307" i="8"/>
  <c r="Z307" i="8"/>
  <c r="Y307" i="8"/>
  <c r="X307" i="8"/>
  <c r="W307" i="8"/>
  <c r="V307" i="8"/>
  <c r="U307" i="8"/>
  <c r="T307" i="8"/>
  <c r="S307" i="8"/>
  <c r="CO306" i="8"/>
  <c r="CN306" i="8"/>
  <c r="CM306" i="8"/>
  <c r="CL306" i="8"/>
  <c r="CF306" i="8"/>
  <c r="CA306" i="8"/>
  <c r="BP306" i="8"/>
  <c r="BN306" i="8"/>
  <c r="BI306" i="8"/>
  <c r="BH306" i="8"/>
  <c r="BF306" i="8"/>
  <c r="BC306" i="8"/>
  <c r="AV306" i="8"/>
  <c r="AU306" i="8"/>
  <c r="AS306" i="8"/>
  <c r="AN306" i="8"/>
  <c r="AM306" i="8"/>
  <c r="AK306" i="8"/>
  <c r="AH306" i="8"/>
  <c r="BE306" i="8" s="1"/>
  <c r="BJ306" i="8" s="1"/>
  <c r="BK306" i="8" s="1"/>
  <c r="AG306" i="8"/>
  <c r="AF306" i="8"/>
  <c r="AE306" i="8"/>
  <c r="AD306" i="8"/>
  <c r="AC306" i="8"/>
  <c r="AB306" i="8"/>
  <c r="AT306" i="8" s="1"/>
  <c r="AW306" i="8" s="1"/>
  <c r="AX306" i="8" s="1"/>
  <c r="AY306" i="8" s="1"/>
  <c r="AA306" i="8"/>
  <c r="Z306" i="8"/>
  <c r="Y306" i="8"/>
  <c r="X306" i="8"/>
  <c r="W306" i="8"/>
  <c r="V306" i="8"/>
  <c r="U306" i="8"/>
  <c r="T306" i="8"/>
  <c r="S306" i="8"/>
  <c r="CO305" i="8"/>
  <c r="CN305" i="8"/>
  <c r="CM305" i="8"/>
  <c r="CL305" i="8"/>
  <c r="CF305" i="8"/>
  <c r="CA305" i="8"/>
  <c r="BP305" i="8"/>
  <c r="BN305" i="8"/>
  <c r="BI305" i="8"/>
  <c r="BH305" i="8"/>
  <c r="BF305" i="8"/>
  <c r="BC305" i="8"/>
  <c r="AV305" i="8"/>
  <c r="AU305" i="8"/>
  <c r="AS305" i="8"/>
  <c r="AN305" i="8"/>
  <c r="AM305" i="8"/>
  <c r="AK305" i="8"/>
  <c r="AH305" i="8"/>
  <c r="AG305" i="8"/>
  <c r="AF305" i="8"/>
  <c r="AE305" i="8"/>
  <c r="AD305" i="8"/>
  <c r="AC305" i="8"/>
  <c r="AB305" i="8"/>
  <c r="AT305" i="8" s="1"/>
  <c r="AW305" i="8" s="1"/>
  <c r="AX305" i="8" s="1"/>
  <c r="AA305" i="8"/>
  <c r="Z305" i="8"/>
  <c r="Y305" i="8"/>
  <c r="X305" i="8"/>
  <c r="W305" i="8"/>
  <c r="V305" i="8"/>
  <c r="U305" i="8"/>
  <c r="T305" i="8"/>
  <c r="S305" i="8"/>
  <c r="CO304" i="8"/>
  <c r="CN304" i="8"/>
  <c r="CM304" i="8"/>
  <c r="CL304" i="8"/>
  <c r="CF304" i="8"/>
  <c r="CA304" i="8"/>
  <c r="BP304" i="8"/>
  <c r="BN304" i="8"/>
  <c r="BI304" i="8"/>
  <c r="BH304" i="8"/>
  <c r="BF304" i="8"/>
  <c r="BC304" i="8"/>
  <c r="AV304" i="8"/>
  <c r="AU304" i="8"/>
  <c r="AS304" i="8"/>
  <c r="AN304" i="8"/>
  <c r="AM304" i="8"/>
  <c r="AK304" i="8"/>
  <c r="AH304" i="8"/>
  <c r="AG304" i="8"/>
  <c r="AF304" i="8"/>
  <c r="AE304" i="8"/>
  <c r="AD304" i="8"/>
  <c r="AC304" i="8"/>
  <c r="AB304" i="8"/>
  <c r="AT304" i="8" s="1"/>
  <c r="AW304" i="8" s="1"/>
  <c r="AX304" i="8" s="1"/>
  <c r="AA304" i="8"/>
  <c r="Z304" i="8"/>
  <c r="Y304" i="8"/>
  <c r="X304" i="8"/>
  <c r="W304" i="8"/>
  <c r="V304" i="8"/>
  <c r="U304" i="8"/>
  <c r="T304" i="8"/>
  <c r="S304" i="8"/>
  <c r="CO303" i="8"/>
  <c r="CN303" i="8"/>
  <c r="CM303" i="8"/>
  <c r="CL303" i="8"/>
  <c r="CF303" i="8"/>
  <c r="CA303" i="8"/>
  <c r="BP303" i="8"/>
  <c r="BN303" i="8"/>
  <c r="BI303" i="8"/>
  <c r="BH303" i="8"/>
  <c r="BF303" i="8"/>
  <c r="BC303" i="8"/>
  <c r="AV303" i="8"/>
  <c r="AU303" i="8"/>
  <c r="AS303" i="8"/>
  <c r="AN303" i="8"/>
  <c r="AM303" i="8"/>
  <c r="AK303" i="8"/>
  <c r="AH303" i="8"/>
  <c r="AG303" i="8"/>
  <c r="AF303" i="8"/>
  <c r="AE303" i="8"/>
  <c r="AD303" i="8"/>
  <c r="AC303" i="8"/>
  <c r="AB303" i="8"/>
  <c r="AT303" i="8" s="1"/>
  <c r="AW303" i="8" s="1"/>
  <c r="AX303" i="8" s="1"/>
  <c r="AA303" i="8"/>
  <c r="Z303" i="8"/>
  <c r="Y303" i="8"/>
  <c r="X303" i="8"/>
  <c r="W303" i="8"/>
  <c r="V303" i="8"/>
  <c r="U303" i="8"/>
  <c r="T303" i="8"/>
  <c r="S303" i="8"/>
  <c r="CO302" i="8"/>
  <c r="CN302" i="8"/>
  <c r="CM302" i="8"/>
  <c r="CL302" i="8"/>
  <c r="CF302" i="8"/>
  <c r="CA302" i="8"/>
  <c r="BP302" i="8"/>
  <c r="BN302" i="8"/>
  <c r="BI302" i="8"/>
  <c r="BH302" i="8"/>
  <c r="BF302" i="8"/>
  <c r="BC302" i="8"/>
  <c r="AV302" i="8"/>
  <c r="AU302" i="8"/>
  <c r="AS302" i="8"/>
  <c r="AN302" i="8"/>
  <c r="AM302" i="8"/>
  <c r="AK302" i="8"/>
  <c r="AH302" i="8"/>
  <c r="BE302" i="8" s="1"/>
  <c r="BJ302" i="8" s="1"/>
  <c r="BK302" i="8" s="1"/>
  <c r="AG302" i="8"/>
  <c r="AF302" i="8"/>
  <c r="AE302" i="8"/>
  <c r="AD302" i="8"/>
  <c r="AC302" i="8"/>
  <c r="AB302" i="8"/>
  <c r="AT302" i="8" s="1"/>
  <c r="AW302" i="8" s="1"/>
  <c r="AX302" i="8" s="1"/>
  <c r="AA302" i="8"/>
  <c r="Z302" i="8"/>
  <c r="Y302" i="8"/>
  <c r="X302" i="8"/>
  <c r="W302" i="8"/>
  <c r="V302" i="8"/>
  <c r="U302" i="8"/>
  <c r="T302" i="8"/>
  <c r="S302" i="8"/>
  <c r="CO301" i="8"/>
  <c r="CN301" i="8"/>
  <c r="CM301" i="8"/>
  <c r="CL301" i="8"/>
  <c r="CF301" i="8"/>
  <c r="CA301" i="8"/>
  <c r="BP301" i="8"/>
  <c r="BN301" i="8"/>
  <c r="BI301" i="8"/>
  <c r="BH301" i="8"/>
  <c r="BF301" i="8"/>
  <c r="BC301" i="8"/>
  <c r="AV301" i="8"/>
  <c r="AU301" i="8"/>
  <c r="AS301" i="8"/>
  <c r="AN301" i="8"/>
  <c r="AM301" i="8"/>
  <c r="AK301" i="8"/>
  <c r="AJ301" i="8"/>
  <c r="AO301" i="8" s="1"/>
  <c r="AP301" i="8" s="1"/>
  <c r="AH301" i="8"/>
  <c r="BE301" i="8" s="1"/>
  <c r="BJ301" i="8" s="1"/>
  <c r="BK301" i="8" s="1"/>
  <c r="BX301" i="8" s="1"/>
  <c r="AG301" i="8"/>
  <c r="AF301" i="8"/>
  <c r="AE301" i="8"/>
  <c r="AD301" i="8"/>
  <c r="AC301" i="8"/>
  <c r="AB301" i="8"/>
  <c r="AA301" i="8"/>
  <c r="Z301" i="8"/>
  <c r="Y301" i="8"/>
  <c r="X301" i="8"/>
  <c r="W301" i="8"/>
  <c r="V301" i="8"/>
  <c r="U301" i="8"/>
  <c r="T301" i="8"/>
  <c r="S301" i="8"/>
  <c r="CO300" i="8"/>
  <c r="CN300" i="8"/>
  <c r="CM300" i="8"/>
  <c r="CL300" i="8"/>
  <c r="CF300" i="8"/>
  <c r="CA300" i="8"/>
  <c r="BP300" i="8"/>
  <c r="BN300" i="8"/>
  <c r="BI300" i="8"/>
  <c r="BH300" i="8"/>
  <c r="BF300" i="8"/>
  <c r="BC300" i="8"/>
  <c r="AV300" i="8"/>
  <c r="AU300" i="8"/>
  <c r="AS300" i="8"/>
  <c r="AN300" i="8"/>
  <c r="AM300" i="8"/>
  <c r="AK300" i="8"/>
  <c r="AH300" i="8"/>
  <c r="BG300" i="8" s="1"/>
  <c r="BL300" i="8" s="1"/>
  <c r="AG300" i="8"/>
  <c r="AF300" i="8"/>
  <c r="AE300" i="8"/>
  <c r="AD300" i="8"/>
  <c r="AC300" i="8"/>
  <c r="AB300" i="8"/>
  <c r="AT300" i="8" s="1"/>
  <c r="AW300" i="8" s="1"/>
  <c r="AX300" i="8" s="1"/>
  <c r="AA300" i="8"/>
  <c r="Z300" i="8"/>
  <c r="Y300" i="8"/>
  <c r="X300" i="8"/>
  <c r="W300" i="8"/>
  <c r="V300" i="8"/>
  <c r="U300" i="8"/>
  <c r="T300" i="8"/>
  <c r="S300" i="8"/>
  <c r="CO299" i="8"/>
  <c r="CN299" i="8"/>
  <c r="CM299" i="8"/>
  <c r="CL299" i="8"/>
  <c r="CF299" i="8"/>
  <c r="CA299" i="8"/>
  <c r="BP299" i="8"/>
  <c r="BN299" i="8"/>
  <c r="BI299" i="8"/>
  <c r="BH299" i="8"/>
  <c r="BF299" i="8"/>
  <c r="BC299" i="8"/>
  <c r="AV299" i="8"/>
  <c r="AU299" i="8"/>
  <c r="AS299" i="8"/>
  <c r="AN299" i="8"/>
  <c r="AM299" i="8"/>
  <c r="AK299" i="8"/>
  <c r="AH299" i="8"/>
  <c r="BE299" i="8" s="1"/>
  <c r="BJ299" i="8" s="1"/>
  <c r="BK299" i="8" s="1"/>
  <c r="AG299" i="8"/>
  <c r="AF299" i="8"/>
  <c r="AE299" i="8"/>
  <c r="AD299" i="8"/>
  <c r="AC299" i="8"/>
  <c r="AB299" i="8"/>
  <c r="AA299" i="8"/>
  <c r="Z299" i="8"/>
  <c r="Y299" i="8"/>
  <c r="X299" i="8"/>
  <c r="W299" i="8"/>
  <c r="V299" i="8"/>
  <c r="U299" i="8"/>
  <c r="T299" i="8"/>
  <c r="S299" i="8"/>
  <c r="CO298" i="8"/>
  <c r="CN298" i="8"/>
  <c r="CM298" i="8"/>
  <c r="CL298" i="8"/>
  <c r="CF298" i="8"/>
  <c r="CA298" i="8"/>
  <c r="BP298" i="8"/>
  <c r="BN298" i="8"/>
  <c r="BI298" i="8"/>
  <c r="BH298" i="8"/>
  <c r="BF298" i="8"/>
  <c r="BC298" i="8"/>
  <c r="AV298" i="8"/>
  <c r="AU298" i="8"/>
  <c r="AS298" i="8"/>
  <c r="AN298" i="8"/>
  <c r="AM298" i="8"/>
  <c r="AK298" i="8"/>
  <c r="AH298" i="8"/>
  <c r="AG298" i="8"/>
  <c r="AF298" i="8"/>
  <c r="AE298" i="8"/>
  <c r="AD298" i="8"/>
  <c r="AC298" i="8"/>
  <c r="AB298" i="8"/>
  <c r="AA298" i="8"/>
  <c r="Z298" i="8"/>
  <c r="Y298" i="8"/>
  <c r="X298" i="8"/>
  <c r="W298" i="8"/>
  <c r="V298" i="8"/>
  <c r="U298" i="8"/>
  <c r="T298" i="8"/>
  <c r="S298" i="8"/>
  <c r="CO297" i="8"/>
  <c r="CN297" i="8"/>
  <c r="CM297" i="8"/>
  <c r="CL297" i="8"/>
  <c r="CF297" i="8"/>
  <c r="CA297" i="8"/>
  <c r="BP297" i="8"/>
  <c r="BN297" i="8"/>
  <c r="BI297" i="8"/>
  <c r="BH297" i="8"/>
  <c r="BF297" i="8"/>
  <c r="BC297" i="8"/>
  <c r="AV297" i="8"/>
  <c r="AU297" i="8"/>
  <c r="AS297" i="8"/>
  <c r="AN297" i="8"/>
  <c r="AM297" i="8"/>
  <c r="AK297" i="8"/>
  <c r="AH297" i="8"/>
  <c r="BG297" i="8" s="1"/>
  <c r="BL297" i="8" s="1"/>
  <c r="AG297" i="8"/>
  <c r="AF297" i="8"/>
  <c r="AE297" i="8"/>
  <c r="AD297" i="8"/>
  <c r="AC297" i="8"/>
  <c r="AB297" i="8"/>
  <c r="AT297" i="8" s="1"/>
  <c r="AW297" i="8" s="1"/>
  <c r="AX297" i="8" s="1"/>
  <c r="AA297" i="8"/>
  <c r="Z297" i="8"/>
  <c r="Y297" i="8"/>
  <c r="X297" i="8"/>
  <c r="W297" i="8"/>
  <c r="V297" i="8"/>
  <c r="U297" i="8"/>
  <c r="T297" i="8"/>
  <c r="S297" i="8"/>
  <c r="CO296" i="8"/>
  <c r="CN296" i="8"/>
  <c r="CM296" i="8"/>
  <c r="CL296" i="8"/>
  <c r="CF296" i="8"/>
  <c r="CA296" i="8"/>
  <c r="BP296" i="8"/>
  <c r="BN296" i="8"/>
  <c r="BI296" i="8"/>
  <c r="BH296" i="8"/>
  <c r="BF296" i="8"/>
  <c r="BC296" i="8"/>
  <c r="AV296" i="8"/>
  <c r="AU296" i="8"/>
  <c r="AS296" i="8"/>
  <c r="AN296" i="8"/>
  <c r="AM296" i="8"/>
  <c r="AK296" i="8"/>
  <c r="AH296" i="8"/>
  <c r="BO296" i="8" s="1"/>
  <c r="BQ296" i="8" s="1"/>
  <c r="BR296" i="8" s="1"/>
  <c r="BS296" i="8" s="1"/>
  <c r="AG296" i="8"/>
  <c r="AF296" i="8"/>
  <c r="AE296" i="8"/>
  <c r="AD296" i="8"/>
  <c r="AC296" i="8"/>
  <c r="AB296" i="8"/>
  <c r="AA296" i="8"/>
  <c r="Z296" i="8"/>
  <c r="Y296" i="8"/>
  <c r="X296" i="8"/>
  <c r="W296" i="8"/>
  <c r="V296" i="8"/>
  <c r="U296" i="8"/>
  <c r="T296" i="8"/>
  <c r="S296" i="8"/>
  <c r="CO295" i="8"/>
  <c r="CN295" i="8"/>
  <c r="CM295" i="8"/>
  <c r="CL295" i="8"/>
  <c r="CF295" i="8"/>
  <c r="CA295" i="8"/>
  <c r="BP295" i="8"/>
  <c r="BN295" i="8"/>
  <c r="BI295" i="8"/>
  <c r="BH295" i="8"/>
  <c r="BF295" i="8"/>
  <c r="BC295" i="8"/>
  <c r="AV295" i="8"/>
  <c r="AU295" i="8"/>
  <c r="AS295" i="8"/>
  <c r="AN295" i="8"/>
  <c r="AM295" i="8"/>
  <c r="AK295" i="8"/>
  <c r="AH295" i="8"/>
  <c r="BO295" i="8" s="1"/>
  <c r="BQ295" i="8" s="1"/>
  <c r="BR295" i="8" s="1"/>
  <c r="BS295" i="8" s="1"/>
  <c r="AG295" i="8"/>
  <c r="AF295" i="8"/>
  <c r="AE295" i="8"/>
  <c r="AD295" i="8"/>
  <c r="AC295" i="8"/>
  <c r="AB295" i="8"/>
  <c r="AA295" i="8"/>
  <c r="Z295" i="8"/>
  <c r="Y295" i="8"/>
  <c r="X295" i="8"/>
  <c r="W295" i="8"/>
  <c r="V295" i="8"/>
  <c r="U295" i="8"/>
  <c r="T295" i="8"/>
  <c r="S295" i="8"/>
  <c r="CO294" i="8"/>
  <c r="CN294" i="8"/>
  <c r="CM294" i="8"/>
  <c r="CL294" i="8"/>
  <c r="CF294" i="8"/>
  <c r="CA294" i="8"/>
  <c r="BP294" i="8"/>
  <c r="BN294" i="8"/>
  <c r="BI294" i="8"/>
  <c r="BH294" i="8"/>
  <c r="BF294" i="8"/>
  <c r="BC294" i="8"/>
  <c r="AV294" i="8"/>
  <c r="AU294" i="8"/>
  <c r="AS294" i="8"/>
  <c r="AN294" i="8"/>
  <c r="AM294" i="8"/>
  <c r="AK294" i="8"/>
  <c r="AH294" i="8"/>
  <c r="BO294" i="8" s="1"/>
  <c r="BQ294" i="8" s="1"/>
  <c r="BR294" i="8" s="1"/>
  <c r="AG294" i="8"/>
  <c r="AF294" i="8"/>
  <c r="AE294" i="8"/>
  <c r="AD294" i="8"/>
  <c r="AC294" i="8"/>
  <c r="AB294" i="8"/>
  <c r="AA294" i="8"/>
  <c r="Z294" i="8"/>
  <c r="Y294" i="8"/>
  <c r="X294" i="8"/>
  <c r="W294" i="8"/>
  <c r="V294" i="8"/>
  <c r="U294" i="8"/>
  <c r="T294" i="8"/>
  <c r="S294" i="8"/>
  <c r="CO293" i="8"/>
  <c r="CN293" i="8"/>
  <c r="CM293" i="8"/>
  <c r="CL293" i="8"/>
  <c r="CF293" i="8"/>
  <c r="CA293" i="8"/>
  <c r="BP293" i="8"/>
  <c r="BN293" i="8"/>
  <c r="BI293" i="8"/>
  <c r="BH293" i="8"/>
  <c r="BF293" i="8"/>
  <c r="BC293" i="8"/>
  <c r="AV293" i="8"/>
  <c r="AU293" i="8"/>
  <c r="AS293" i="8"/>
  <c r="AN293" i="8"/>
  <c r="AM293" i="8"/>
  <c r="AK293" i="8"/>
  <c r="AH293" i="8"/>
  <c r="BG293" i="8" s="1"/>
  <c r="BL293" i="8" s="1"/>
  <c r="AG293" i="8"/>
  <c r="AF293" i="8"/>
  <c r="AE293" i="8"/>
  <c r="AD293" i="8"/>
  <c r="AC293" i="8"/>
  <c r="AB293" i="8"/>
  <c r="AT293" i="8" s="1"/>
  <c r="AW293" i="8" s="1"/>
  <c r="AX293" i="8" s="1"/>
  <c r="AA293" i="8"/>
  <c r="Z293" i="8"/>
  <c r="Y293" i="8"/>
  <c r="X293" i="8"/>
  <c r="W293" i="8"/>
  <c r="V293" i="8"/>
  <c r="U293" i="8"/>
  <c r="T293" i="8"/>
  <c r="S293" i="8"/>
  <c r="CO292" i="8"/>
  <c r="CN292" i="8"/>
  <c r="CM292" i="8"/>
  <c r="CL292" i="8"/>
  <c r="CF292" i="8"/>
  <c r="CA292" i="8"/>
  <c r="BP292" i="8"/>
  <c r="BN292" i="8"/>
  <c r="BI292" i="8"/>
  <c r="BH292" i="8"/>
  <c r="BF292" i="8"/>
  <c r="BC292" i="8"/>
  <c r="AV292" i="8"/>
  <c r="AU292" i="8"/>
  <c r="AS292" i="8"/>
  <c r="AN292" i="8"/>
  <c r="AM292" i="8"/>
  <c r="AK292" i="8"/>
  <c r="AH292" i="8"/>
  <c r="BO292" i="8" s="1"/>
  <c r="BQ292" i="8" s="1"/>
  <c r="BR292" i="8" s="1"/>
  <c r="BS292" i="8" s="1"/>
  <c r="AG292" i="8"/>
  <c r="AF292" i="8"/>
  <c r="AE292" i="8"/>
  <c r="AD292" i="8"/>
  <c r="AC292" i="8"/>
  <c r="AB292" i="8"/>
  <c r="AA292" i="8"/>
  <c r="Z292" i="8"/>
  <c r="Y292" i="8"/>
  <c r="X292" i="8"/>
  <c r="W292" i="8"/>
  <c r="V292" i="8"/>
  <c r="U292" i="8"/>
  <c r="T292" i="8"/>
  <c r="S292" i="8"/>
  <c r="CO291" i="8"/>
  <c r="CN291" i="8"/>
  <c r="CM291" i="8"/>
  <c r="CL291" i="8"/>
  <c r="CF291" i="8"/>
  <c r="CA291" i="8"/>
  <c r="BP291" i="8"/>
  <c r="BN291" i="8"/>
  <c r="BI291" i="8"/>
  <c r="BH291" i="8"/>
  <c r="BF291" i="8"/>
  <c r="BC291" i="8"/>
  <c r="AV291" i="8"/>
  <c r="AU291" i="8"/>
  <c r="AS291" i="8"/>
  <c r="AN291" i="8"/>
  <c r="AM291" i="8"/>
  <c r="AK291" i="8"/>
  <c r="AH291" i="8"/>
  <c r="BG291" i="8" s="1"/>
  <c r="BL291" i="8" s="1"/>
  <c r="AG291" i="8"/>
  <c r="AF291" i="8"/>
  <c r="AE291" i="8"/>
  <c r="AD291" i="8"/>
  <c r="AC291" i="8"/>
  <c r="AB291" i="8"/>
  <c r="AL291" i="8" s="1"/>
  <c r="AQ291" i="8" s="1"/>
  <c r="AA291" i="8"/>
  <c r="Z291" i="8"/>
  <c r="Y291" i="8"/>
  <c r="X291" i="8"/>
  <c r="W291" i="8"/>
  <c r="V291" i="8"/>
  <c r="U291" i="8"/>
  <c r="T291" i="8"/>
  <c r="S291" i="8"/>
  <c r="CO290" i="8"/>
  <c r="CN290" i="8"/>
  <c r="CM290" i="8"/>
  <c r="CL290" i="8"/>
  <c r="CF290" i="8"/>
  <c r="CA290" i="8"/>
  <c r="BP290" i="8"/>
  <c r="BN290" i="8"/>
  <c r="BI290" i="8"/>
  <c r="BH290" i="8"/>
  <c r="BF290" i="8"/>
  <c r="BC290" i="8"/>
  <c r="AV290" i="8"/>
  <c r="AU290" i="8"/>
  <c r="AS290" i="8"/>
  <c r="AN290" i="8"/>
  <c r="AM290" i="8"/>
  <c r="AK290" i="8"/>
  <c r="AH290" i="8"/>
  <c r="BG290" i="8" s="1"/>
  <c r="BL290" i="8" s="1"/>
  <c r="AG290" i="8"/>
  <c r="AF290" i="8"/>
  <c r="AE290" i="8"/>
  <c r="AD290" i="8"/>
  <c r="AC290" i="8"/>
  <c r="AB290" i="8"/>
  <c r="AA290" i="8"/>
  <c r="Z290" i="8"/>
  <c r="Y290" i="8"/>
  <c r="X290" i="8"/>
  <c r="W290" i="8"/>
  <c r="V290" i="8"/>
  <c r="U290" i="8"/>
  <c r="T290" i="8"/>
  <c r="S290" i="8"/>
  <c r="CO289" i="8"/>
  <c r="CN289" i="8"/>
  <c r="CM289" i="8"/>
  <c r="CL289" i="8"/>
  <c r="CF289" i="8"/>
  <c r="CA289" i="8"/>
  <c r="BP289" i="8"/>
  <c r="BN289" i="8"/>
  <c r="BI289" i="8"/>
  <c r="BH289" i="8"/>
  <c r="BF289" i="8"/>
  <c r="BC289" i="8"/>
  <c r="AV289" i="8"/>
  <c r="AU289" i="8"/>
  <c r="AS289" i="8"/>
  <c r="AN289" i="8"/>
  <c r="AM289" i="8"/>
  <c r="AK289" i="8"/>
  <c r="AH289" i="8"/>
  <c r="BG289" i="8" s="1"/>
  <c r="BL289" i="8" s="1"/>
  <c r="AG289" i="8"/>
  <c r="AF289" i="8"/>
  <c r="AE289" i="8"/>
  <c r="AD289" i="8"/>
  <c r="AC289" i="8"/>
  <c r="AB289" i="8"/>
  <c r="AL289" i="8" s="1"/>
  <c r="AQ289" i="8" s="1"/>
  <c r="AA289" i="8"/>
  <c r="Z289" i="8"/>
  <c r="Y289" i="8"/>
  <c r="X289" i="8"/>
  <c r="W289" i="8"/>
  <c r="V289" i="8"/>
  <c r="U289" i="8"/>
  <c r="T289" i="8"/>
  <c r="S289" i="8"/>
  <c r="CO288" i="8"/>
  <c r="CN288" i="8"/>
  <c r="CM288" i="8"/>
  <c r="CL288" i="8"/>
  <c r="CF288" i="8"/>
  <c r="CA288" i="8"/>
  <c r="BP288" i="8"/>
  <c r="BN288" i="8"/>
  <c r="BI288" i="8"/>
  <c r="BH288" i="8"/>
  <c r="BF288" i="8"/>
  <c r="BC288" i="8"/>
  <c r="AV288" i="8"/>
  <c r="AU288" i="8"/>
  <c r="AS288" i="8"/>
  <c r="AN288" i="8"/>
  <c r="AM288" i="8"/>
  <c r="AK288" i="8"/>
  <c r="AH288" i="8"/>
  <c r="AG288" i="8"/>
  <c r="AF288" i="8"/>
  <c r="AE288" i="8"/>
  <c r="AD288" i="8"/>
  <c r="AC288" i="8"/>
  <c r="AB288" i="8"/>
  <c r="AA288" i="8"/>
  <c r="Z288" i="8"/>
  <c r="Y288" i="8"/>
  <c r="X288" i="8"/>
  <c r="W288" i="8"/>
  <c r="V288" i="8"/>
  <c r="U288" i="8"/>
  <c r="T288" i="8"/>
  <c r="S288" i="8"/>
  <c r="CO287" i="8"/>
  <c r="CN287" i="8"/>
  <c r="CM287" i="8"/>
  <c r="CL287" i="8"/>
  <c r="CF287" i="8"/>
  <c r="CA287" i="8"/>
  <c r="BP287" i="8"/>
  <c r="BN287" i="8"/>
  <c r="BI287" i="8"/>
  <c r="BH287" i="8"/>
  <c r="BF287" i="8"/>
  <c r="BC287" i="8"/>
  <c r="AV287" i="8"/>
  <c r="AU287" i="8"/>
  <c r="AS287" i="8"/>
  <c r="AN287" i="8"/>
  <c r="AM287" i="8"/>
  <c r="AK287" i="8"/>
  <c r="AH287" i="8"/>
  <c r="BE287" i="8" s="1"/>
  <c r="BJ287" i="8" s="1"/>
  <c r="BK287" i="8" s="1"/>
  <c r="AG287" i="8"/>
  <c r="AF287" i="8"/>
  <c r="AE287" i="8"/>
  <c r="AD287" i="8"/>
  <c r="AC287" i="8"/>
  <c r="AB287" i="8"/>
  <c r="AL287" i="8" s="1"/>
  <c r="AQ287" i="8" s="1"/>
  <c r="AA287" i="8"/>
  <c r="Z287" i="8"/>
  <c r="Y287" i="8"/>
  <c r="X287" i="8"/>
  <c r="W287" i="8"/>
  <c r="V287" i="8"/>
  <c r="U287" i="8"/>
  <c r="T287" i="8"/>
  <c r="S287" i="8"/>
  <c r="CO286" i="8"/>
  <c r="CN286" i="8"/>
  <c r="CM286" i="8"/>
  <c r="CL286" i="8"/>
  <c r="CF286" i="8"/>
  <c r="BP286" i="8"/>
  <c r="BN286" i="8"/>
  <c r="BI286" i="8"/>
  <c r="BH286" i="8"/>
  <c r="BF286" i="8"/>
  <c r="BC286" i="8"/>
  <c r="AV286" i="8"/>
  <c r="AU286" i="8"/>
  <c r="AS286" i="8"/>
  <c r="AN286" i="8"/>
  <c r="AM286" i="8"/>
  <c r="AK286" i="8"/>
  <c r="AG286" i="8"/>
  <c r="AF286" i="8"/>
  <c r="AH286" i="8" s="1"/>
  <c r="BO286" i="8" s="1"/>
  <c r="BQ286" i="8" s="1"/>
  <c r="BR286" i="8" s="1"/>
  <c r="AE286" i="8"/>
  <c r="AD286" i="8"/>
  <c r="AC286" i="8"/>
  <c r="AB286" i="8"/>
  <c r="AJ286" i="8" s="1"/>
  <c r="AO286" i="8" s="1"/>
  <c r="AP286" i="8" s="1"/>
  <c r="AA286" i="8"/>
  <c r="Z286" i="8"/>
  <c r="Y286" i="8"/>
  <c r="X286" i="8"/>
  <c r="W286" i="8"/>
  <c r="V286" i="8"/>
  <c r="U286" i="8"/>
  <c r="T286" i="8"/>
  <c r="S286" i="8"/>
  <c r="CN285" i="8"/>
  <c r="CL285" i="8"/>
  <c r="BP285" i="8"/>
  <c r="BN285" i="8"/>
  <c r="BI285" i="8"/>
  <c r="BH285" i="8"/>
  <c r="BF285" i="8"/>
  <c r="AU285" i="8"/>
  <c r="AS285" i="8"/>
  <c r="AN285" i="8"/>
  <c r="AM285" i="8"/>
  <c r="AK285" i="8"/>
  <c r="AG285" i="8"/>
  <c r="AF285" i="8"/>
  <c r="AE285" i="8"/>
  <c r="AD285" i="8"/>
  <c r="AC285" i="8"/>
  <c r="AA285" i="8"/>
  <c r="Z285" i="8"/>
  <c r="Y285" i="8"/>
  <c r="X285" i="8"/>
  <c r="W285" i="8"/>
  <c r="V285" i="8"/>
  <c r="U285" i="8"/>
  <c r="AV285" i="8" s="1"/>
  <c r="T285" i="8"/>
  <c r="S285" i="8"/>
  <c r="CN284" i="8"/>
  <c r="CL284" i="8"/>
  <c r="BP284" i="8"/>
  <c r="BN284" i="8"/>
  <c r="BI284" i="8"/>
  <c r="BH284" i="8"/>
  <c r="BF284" i="8"/>
  <c r="AU284" i="8"/>
  <c r="AS284" i="8"/>
  <c r="AN284" i="8"/>
  <c r="AM284" i="8"/>
  <c r="AK284" i="8"/>
  <c r="AG284" i="8"/>
  <c r="AF284" i="8"/>
  <c r="AE284" i="8"/>
  <c r="AD284" i="8"/>
  <c r="AC284" i="8"/>
  <c r="AA284" i="8"/>
  <c r="Z284" i="8"/>
  <c r="Y284" i="8"/>
  <c r="X284" i="8"/>
  <c r="W284" i="8"/>
  <c r="V284" i="8"/>
  <c r="U284" i="8"/>
  <c r="AV284" i="8" s="1"/>
  <c r="T284" i="8"/>
  <c r="S284" i="8"/>
  <c r="CN283" i="8"/>
  <c r="CO283" i="8" s="1"/>
  <c r="CL283" i="8"/>
  <c r="CM283" i="8" s="1"/>
  <c r="BP283" i="8"/>
  <c r="BN283" i="8"/>
  <c r="BI283" i="8"/>
  <c r="BH283" i="8"/>
  <c r="BF283" i="8"/>
  <c r="AV283" i="8"/>
  <c r="AU283" i="8"/>
  <c r="AS283" i="8"/>
  <c r="AN283" i="8"/>
  <c r="AM283" i="8"/>
  <c r="AK283" i="8"/>
  <c r="AG283" i="8"/>
  <c r="AF283" i="8"/>
  <c r="AE283" i="8"/>
  <c r="AD283" i="8"/>
  <c r="AC283" i="8"/>
  <c r="AA283" i="8"/>
  <c r="Z283" i="8"/>
  <c r="Y283" i="8"/>
  <c r="X283" i="8"/>
  <c r="W283" i="8"/>
  <c r="V283" i="8"/>
  <c r="U283" i="8"/>
  <c r="T283" i="8"/>
  <c r="S283" i="8"/>
  <c r="CO277" i="8"/>
  <c r="CN277" i="8"/>
  <c r="CM277" i="8"/>
  <c r="CL277" i="8"/>
  <c r="CF277" i="8"/>
  <c r="CA277" i="8"/>
  <c r="BP277" i="8"/>
  <c r="BN277" i="8"/>
  <c r="BI277" i="8"/>
  <c r="BH277" i="8"/>
  <c r="BF277" i="8"/>
  <c r="BC277" i="8"/>
  <c r="AV277" i="8"/>
  <c r="AU277" i="8"/>
  <c r="AS277" i="8"/>
  <c r="AN277" i="8"/>
  <c r="AM277" i="8"/>
  <c r="AK277" i="8"/>
  <c r="AH277" i="8"/>
  <c r="BE277" i="8" s="1"/>
  <c r="BJ277" i="8" s="1"/>
  <c r="BK277" i="8" s="1"/>
  <c r="BU277" i="8" s="1"/>
  <c r="AG277" i="8"/>
  <c r="AF277" i="8"/>
  <c r="AE277" i="8"/>
  <c r="AD277" i="8"/>
  <c r="AC277" i="8"/>
  <c r="AB277" i="8"/>
  <c r="AT277" i="8" s="1"/>
  <c r="AW277" i="8" s="1"/>
  <c r="AX277" i="8" s="1"/>
  <c r="AA277" i="8"/>
  <c r="Z277" i="8"/>
  <c r="Y277" i="8"/>
  <c r="X277" i="8"/>
  <c r="W277" i="8"/>
  <c r="V277" i="8"/>
  <c r="U277" i="8"/>
  <c r="T277" i="8"/>
  <c r="S277" i="8"/>
  <c r="CO276" i="8"/>
  <c r="CN276" i="8"/>
  <c r="CM276" i="8"/>
  <c r="CL276" i="8"/>
  <c r="CF276" i="8"/>
  <c r="CA276" i="8"/>
  <c r="BP276" i="8"/>
  <c r="BN276" i="8"/>
  <c r="BI276" i="8"/>
  <c r="BH276" i="8"/>
  <c r="BF276" i="8"/>
  <c r="BC276" i="8"/>
  <c r="AV276" i="8"/>
  <c r="AU276" i="8"/>
  <c r="AS276" i="8"/>
  <c r="AN276" i="8"/>
  <c r="AM276" i="8"/>
  <c r="AK276" i="8"/>
  <c r="AH276" i="8"/>
  <c r="BE276" i="8" s="1"/>
  <c r="BJ276" i="8" s="1"/>
  <c r="BK276" i="8" s="1"/>
  <c r="BU276" i="8" s="1"/>
  <c r="AG276" i="8"/>
  <c r="AF276" i="8"/>
  <c r="AE276" i="8"/>
  <c r="AD276" i="8"/>
  <c r="AC276" i="8"/>
  <c r="AB276" i="8"/>
  <c r="AA276" i="8"/>
  <c r="Z276" i="8"/>
  <c r="Y276" i="8"/>
  <c r="X276" i="8"/>
  <c r="W276" i="8"/>
  <c r="V276" i="8"/>
  <c r="U276" i="8"/>
  <c r="T276" i="8"/>
  <c r="S276" i="8"/>
  <c r="CO275" i="8"/>
  <c r="CN275" i="8"/>
  <c r="CM275" i="8"/>
  <c r="CL275" i="8"/>
  <c r="CF275" i="8"/>
  <c r="CA275" i="8"/>
  <c r="BP275" i="8"/>
  <c r="BN275" i="8"/>
  <c r="BI275" i="8"/>
  <c r="BH275" i="8"/>
  <c r="BF275" i="8"/>
  <c r="BC275" i="8"/>
  <c r="AV275" i="8"/>
  <c r="AU275" i="8"/>
  <c r="AS275" i="8"/>
  <c r="AN275" i="8"/>
  <c r="AM275" i="8"/>
  <c r="AK275" i="8"/>
  <c r="AH275" i="8"/>
  <c r="BE275" i="8" s="1"/>
  <c r="BJ275" i="8" s="1"/>
  <c r="BK275" i="8" s="1"/>
  <c r="AG275" i="8"/>
  <c r="AF275" i="8"/>
  <c r="AE275" i="8"/>
  <c r="AD275" i="8"/>
  <c r="AC275" i="8"/>
  <c r="AB275" i="8"/>
  <c r="AT275" i="8" s="1"/>
  <c r="AW275" i="8" s="1"/>
  <c r="AX275" i="8" s="1"/>
  <c r="AA275" i="8"/>
  <c r="Z275" i="8"/>
  <c r="Y275" i="8"/>
  <c r="X275" i="8"/>
  <c r="W275" i="8"/>
  <c r="V275" i="8"/>
  <c r="U275" i="8"/>
  <c r="T275" i="8"/>
  <c r="S275" i="8"/>
  <c r="CO274" i="8"/>
  <c r="CN274" i="8"/>
  <c r="CM274" i="8"/>
  <c r="CL274" i="8"/>
  <c r="CF274" i="8"/>
  <c r="CA274" i="8"/>
  <c r="BP274" i="8"/>
  <c r="BN274" i="8"/>
  <c r="BI274" i="8"/>
  <c r="BH274" i="8"/>
  <c r="BF274" i="8"/>
  <c r="BC274" i="8"/>
  <c r="AV274" i="8"/>
  <c r="AU274" i="8"/>
  <c r="AS274" i="8"/>
  <c r="AN274" i="8"/>
  <c r="AM274" i="8"/>
  <c r="AK274" i="8"/>
  <c r="AH274" i="8"/>
  <c r="BE274" i="8" s="1"/>
  <c r="BJ274" i="8" s="1"/>
  <c r="BK274" i="8" s="1"/>
  <c r="AG274" i="8"/>
  <c r="AF274" i="8"/>
  <c r="AE274" i="8"/>
  <c r="AD274" i="8"/>
  <c r="AC274" i="8"/>
  <c r="AB274" i="8"/>
  <c r="AT274" i="8" s="1"/>
  <c r="AW274" i="8" s="1"/>
  <c r="AX274" i="8" s="1"/>
  <c r="AA274" i="8"/>
  <c r="Z274" i="8"/>
  <c r="Y274" i="8"/>
  <c r="X274" i="8"/>
  <c r="W274" i="8"/>
  <c r="V274" i="8"/>
  <c r="U274" i="8"/>
  <c r="T274" i="8"/>
  <c r="S274" i="8"/>
  <c r="CO273" i="8"/>
  <c r="CN273" i="8"/>
  <c r="CM273" i="8"/>
  <c r="CL273" i="8"/>
  <c r="CF273" i="8"/>
  <c r="CA273" i="8"/>
  <c r="BP273" i="8"/>
  <c r="BN273" i="8"/>
  <c r="BI273" i="8"/>
  <c r="BH273" i="8"/>
  <c r="BF273" i="8"/>
  <c r="BC273" i="8"/>
  <c r="AV273" i="8"/>
  <c r="AU273" i="8"/>
  <c r="AS273" i="8"/>
  <c r="AN273" i="8"/>
  <c r="AM273" i="8"/>
  <c r="AK273" i="8"/>
  <c r="AH273" i="8"/>
  <c r="BE273" i="8" s="1"/>
  <c r="BJ273" i="8" s="1"/>
  <c r="BK273" i="8" s="1"/>
  <c r="AG273" i="8"/>
  <c r="AF273" i="8"/>
  <c r="AE273" i="8"/>
  <c r="AD273" i="8"/>
  <c r="AC273" i="8"/>
  <c r="AB273" i="8"/>
  <c r="AA273" i="8"/>
  <c r="Z273" i="8"/>
  <c r="Y273" i="8"/>
  <c r="X273" i="8"/>
  <c r="W273" i="8"/>
  <c r="V273" i="8"/>
  <c r="U273" i="8"/>
  <c r="T273" i="8"/>
  <c r="S273" i="8"/>
  <c r="CO272" i="8"/>
  <c r="CN272" i="8"/>
  <c r="CM272" i="8"/>
  <c r="CL272" i="8"/>
  <c r="CF272" i="8"/>
  <c r="CA272" i="8"/>
  <c r="BP272" i="8"/>
  <c r="BN272" i="8"/>
  <c r="BI272" i="8"/>
  <c r="BH272" i="8"/>
  <c r="BF272" i="8"/>
  <c r="BC272" i="8"/>
  <c r="AV272" i="8"/>
  <c r="AU272" i="8"/>
  <c r="AS272" i="8"/>
  <c r="AN272" i="8"/>
  <c r="AM272" i="8"/>
  <c r="AK272" i="8"/>
  <c r="AH272" i="8"/>
  <c r="BE272" i="8" s="1"/>
  <c r="BJ272" i="8" s="1"/>
  <c r="BK272" i="8" s="1"/>
  <c r="BU272" i="8" s="1"/>
  <c r="AG272" i="8"/>
  <c r="AF272" i="8"/>
  <c r="AE272" i="8"/>
  <c r="AD272" i="8"/>
  <c r="AC272" i="8"/>
  <c r="AB272" i="8"/>
  <c r="AA272" i="8"/>
  <c r="Z272" i="8"/>
  <c r="Y272" i="8"/>
  <c r="X272" i="8"/>
  <c r="W272" i="8"/>
  <c r="V272" i="8"/>
  <c r="U272" i="8"/>
  <c r="T272" i="8"/>
  <c r="S272" i="8"/>
  <c r="CO271" i="8"/>
  <c r="CN271" i="8"/>
  <c r="CM271" i="8"/>
  <c r="CL271" i="8"/>
  <c r="CF271" i="8"/>
  <c r="CA271" i="8"/>
  <c r="BP271" i="8"/>
  <c r="BN271" i="8"/>
  <c r="BI271" i="8"/>
  <c r="BH271" i="8"/>
  <c r="BF271" i="8"/>
  <c r="BC271" i="8"/>
  <c r="AV271" i="8"/>
  <c r="AU271" i="8"/>
  <c r="AS271" i="8"/>
  <c r="AN271" i="8"/>
  <c r="AM271" i="8"/>
  <c r="AK271" i="8"/>
  <c r="AH271" i="8"/>
  <c r="BE271" i="8" s="1"/>
  <c r="BJ271" i="8" s="1"/>
  <c r="BK271" i="8" s="1"/>
  <c r="AG271" i="8"/>
  <c r="AF271" i="8"/>
  <c r="AE271" i="8"/>
  <c r="AD271" i="8"/>
  <c r="AC271" i="8"/>
  <c r="AB271" i="8"/>
  <c r="AJ271" i="8" s="1"/>
  <c r="AO271" i="8" s="1"/>
  <c r="AP271" i="8" s="1"/>
  <c r="AA271" i="8"/>
  <c r="Z271" i="8"/>
  <c r="Y271" i="8"/>
  <c r="X271" i="8"/>
  <c r="W271" i="8"/>
  <c r="V271" i="8"/>
  <c r="U271" i="8"/>
  <c r="T271" i="8"/>
  <c r="S271" i="8"/>
  <c r="CO270" i="8"/>
  <c r="CN270" i="8"/>
  <c r="CM270" i="8"/>
  <c r="CL270" i="8"/>
  <c r="CF270" i="8"/>
  <c r="CA270" i="8"/>
  <c r="BP270" i="8"/>
  <c r="BN270" i="8"/>
  <c r="BI270" i="8"/>
  <c r="BH270" i="8"/>
  <c r="BF270" i="8"/>
  <c r="BC270" i="8"/>
  <c r="AV270" i="8"/>
  <c r="AU270" i="8"/>
  <c r="AS270" i="8"/>
  <c r="AN270" i="8"/>
  <c r="AM270" i="8"/>
  <c r="AK270" i="8"/>
  <c r="AH270" i="8"/>
  <c r="BG270" i="8" s="1"/>
  <c r="BL270" i="8" s="1"/>
  <c r="AG270" i="8"/>
  <c r="AF270" i="8"/>
  <c r="AE270" i="8"/>
  <c r="AD270" i="8"/>
  <c r="AC270" i="8"/>
  <c r="AB270" i="8"/>
  <c r="AL270" i="8" s="1"/>
  <c r="AQ270" i="8" s="1"/>
  <c r="AA270" i="8"/>
  <c r="Z270" i="8"/>
  <c r="Y270" i="8"/>
  <c r="X270" i="8"/>
  <c r="W270" i="8"/>
  <c r="V270" i="8"/>
  <c r="U270" i="8"/>
  <c r="T270" i="8"/>
  <c r="S270" i="8"/>
  <c r="CO269" i="8"/>
  <c r="CN269" i="8"/>
  <c r="CM269" i="8"/>
  <c r="CL269" i="8"/>
  <c r="CF269" i="8"/>
  <c r="CA269" i="8"/>
  <c r="BP269" i="8"/>
  <c r="BN269" i="8"/>
  <c r="BI269" i="8"/>
  <c r="BH269" i="8"/>
  <c r="BF269" i="8"/>
  <c r="BC269" i="8"/>
  <c r="AV269" i="8"/>
  <c r="AU269" i="8"/>
  <c r="AS269" i="8"/>
  <c r="AN269" i="8"/>
  <c r="AM269" i="8"/>
  <c r="AK269" i="8"/>
  <c r="AH269" i="8"/>
  <c r="BG269" i="8" s="1"/>
  <c r="BL269" i="8" s="1"/>
  <c r="AG269" i="8"/>
  <c r="AF269" i="8"/>
  <c r="AE269" i="8"/>
  <c r="AD269" i="8"/>
  <c r="AC269" i="8"/>
  <c r="AB269" i="8"/>
  <c r="AA269" i="8"/>
  <c r="Z269" i="8"/>
  <c r="Y269" i="8"/>
  <c r="X269" i="8"/>
  <c r="W269" i="8"/>
  <c r="V269" i="8"/>
  <c r="U269" i="8"/>
  <c r="T269" i="8"/>
  <c r="S269" i="8"/>
  <c r="CO268" i="8"/>
  <c r="CN268" i="8"/>
  <c r="CM268" i="8"/>
  <c r="CL268" i="8"/>
  <c r="CF268" i="8"/>
  <c r="CA268" i="8"/>
  <c r="BP268" i="8"/>
  <c r="BN268" i="8"/>
  <c r="BI268" i="8"/>
  <c r="BH268" i="8"/>
  <c r="BF268" i="8"/>
  <c r="BC268" i="8"/>
  <c r="AV268" i="8"/>
  <c r="AU268" i="8"/>
  <c r="AS268" i="8"/>
  <c r="AN268" i="8"/>
  <c r="AM268" i="8"/>
  <c r="AK268" i="8"/>
  <c r="AH268" i="8"/>
  <c r="BE268" i="8" s="1"/>
  <c r="BJ268" i="8" s="1"/>
  <c r="BK268" i="8" s="1"/>
  <c r="AG268" i="8"/>
  <c r="AF268" i="8"/>
  <c r="AE268" i="8"/>
  <c r="AD268" i="8"/>
  <c r="AC268" i="8"/>
  <c r="AB268" i="8"/>
  <c r="AA268" i="8"/>
  <c r="Z268" i="8"/>
  <c r="Y268" i="8"/>
  <c r="X268" i="8"/>
  <c r="W268" i="8"/>
  <c r="V268" i="8"/>
  <c r="U268" i="8"/>
  <c r="T268" i="8"/>
  <c r="S268" i="8"/>
  <c r="CO267" i="8"/>
  <c r="CN267" i="8"/>
  <c r="CM267" i="8"/>
  <c r="CL267" i="8"/>
  <c r="CF267" i="8"/>
  <c r="CA267" i="8"/>
  <c r="BP267" i="8"/>
  <c r="BN267" i="8"/>
  <c r="BI267" i="8"/>
  <c r="BH267" i="8"/>
  <c r="BF267" i="8"/>
  <c r="BC267" i="8"/>
  <c r="AV267" i="8"/>
  <c r="AU267" i="8"/>
  <c r="AS267" i="8"/>
  <c r="AN267" i="8"/>
  <c r="AM267" i="8"/>
  <c r="AK267" i="8"/>
  <c r="AH267" i="8"/>
  <c r="BO267" i="8" s="1"/>
  <c r="BQ267" i="8" s="1"/>
  <c r="BR267" i="8" s="1"/>
  <c r="AG267" i="8"/>
  <c r="AF267" i="8"/>
  <c r="AE267" i="8"/>
  <c r="AD267" i="8"/>
  <c r="AC267" i="8"/>
  <c r="AB267" i="8"/>
  <c r="AT267" i="8" s="1"/>
  <c r="AW267" i="8" s="1"/>
  <c r="AX267" i="8" s="1"/>
  <c r="AY267" i="8" s="1"/>
  <c r="AA267" i="8"/>
  <c r="Z267" i="8"/>
  <c r="Y267" i="8"/>
  <c r="X267" i="8"/>
  <c r="W267" i="8"/>
  <c r="V267" i="8"/>
  <c r="U267" i="8"/>
  <c r="T267" i="8"/>
  <c r="S267" i="8"/>
  <c r="CO266" i="8"/>
  <c r="CN266" i="8"/>
  <c r="CM266" i="8"/>
  <c r="CL266" i="8"/>
  <c r="CF266" i="8"/>
  <c r="CA266" i="8"/>
  <c r="BP266" i="8"/>
  <c r="BN266" i="8"/>
  <c r="BI266" i="8"/>
  <c r="BH266" i="8"/>
  <c r="BF266" i="8"/>
  <c r="BC266" i="8"/>
  <c r="AV266" i="8"/>
  <c r="AU266" i="8"/>
  <c r="AS266" i="8"/>
  <c r="AN266" i="8"/>
  <c r="AM266" i="8"/>
  <c r="AK266" i="8"/>
  <c r="AH266" i="8"/>
  <c r="BO266" i="8" s="1"/>
  <c r="BQ266" i="8" s="1"/>
  <c r="BR266" i="8" s="1"/>
  <c r="AG266" i="8"/>
  <c r="AF266" i="8"/>
  <c r="AE266" i="8"/>
  <c r="AD266" i="8"/>
  <c r="AC266" i="8"/>
  <c r="AB266" i="8"/>
  <c r="AA266" i="8"/>
  <c r="Z266" i="8"/>
  <c r="Y266" i="8"/>
  <c r="X266" i="8"/>
  <c r="W266" i="8"/>
  <c r="V266" i="8"/>
  <c r="U266" i="8"/>
  <c r="T266" i="8"/>
  <c r="S266" i="8"/>
  <c r="CO265" i="8"/>
  <c r="CN265" i="8"/>
  <c r="CM265" i="8"/>
  <c r="CL265" i="8"/>
  <c r="CF265" i="8"/>
  <c r="CA265" i="8"/>
  <c r="BP265" i="8"/>
  <c r="BN265" i="8"/>
  <c r="BI265" i="8"/>
  <c r="BH265" i="8"/>
  <c r="BF265" i="8"/>
  <c r="BC265" i="8"/>
  <c r="AV265" i="8"/>
  <c r="AU265" i="8"/>
  <c r="AS265" i="8"/>
  <c r="AN265" i="8"/>
  <c r="AM265" i="8"/>
  <c r="AK265" i="8"/>
  <c r="AH265" i="8"/>
  <c r="BO265" i="8" s="1"/>
  <c r="BQ265" i="8" s="1"/>
  <c r="BR265" i="8" s="1"/>
  <c r="AG265" i="8"/>
  <c r="AF265" i="8"/>
  <c r="AE265" i="8"/>
  <c r="AD265" i="8"/>
  <c r="AC265" i="8"/>
  <c r="AB265" i="8"/>
  <c r="AT265" i="8" s="1"/>
  <c r="AW265" i="8" s="1"/>
  <c r="AX265" i="8" s="1"/>
  <c r="AA265" i="8"/>
  <c r="Z265" i="8"/>
  <c r="Y265" i="8"/>
  <c r="X265" i="8"/>
  <c r="W265" i="8"/>
  <c r="V265" i="8"/>
  <c r="U265" i="8"/>
  <c r="T265" i="8"/>
  <c r="S265" i="8"/>
  <c r="CO264" i="8"/>
  <c r="CN264" i="8"/>
  <c r="CM264" i="8"/>
  <c r="CL264" i="8"/>
  <c r="CF264" i="8"/>
  <c r="CA264" i="8"/>
  <c r="BP264" i="8"/>
  <c r="BN264" i="8"/>
  <c r="BI264" i="8"/>
  <c r="BH264" i="8"/>
  <c r="BF264" i="8"/>
  <c r="BC264" i="8"/>
  <c r="AV264" i="8"/>
  <c r="AU264" i="8"/>
  <c r="AS264" i="8"/>
  <c r="AN264" i="8"/>
  <c r="AM264" i="8"/>
  <c r="AK264" i="8"/>
  <c r="AH264" i="8"/>
  <c r="BO264" i="8" s="1"/>
  <c r="BQ264" i="8" s="1"/>
  <c r="BR264" i="8" s="1"/>
  <c r="AG264" i="8"/>
  <c r="AF264" i="8"/>
  <c r="AE264" i="8"/>
  <c r="AD264" i="8"/>
  <c r="AC264" i="8"/>
  <c r="AB264" i="8"/>
  <c r="AA264" i="8"/>
  <c r="Z264" i="8"/>
  <c r="Y264" i="8"/>
  <c r="X264" i="8"/>
  <c r="W264" i="8"/>
  <c r="V264" i="8"/>
  <c r="U264" i="8"/>
  <c r="T264" i="8"/>
  <c r="S264" i="8"/>
  <c r="CO263" i="8"/>
  <c r="CN263" i="8"/>
  <c r="CM263" i="8"/>
  <c r="CL263" i="8"/>
  <c r="CF263" i="8"/>
  <c r="CA263" i="8"/>
  <c r="BP263" i="8"/>
  <c r="BN263" i="8"/>
  <c r="BI263" i="8"/>
  <c r="BH263" i="8"/>
  <c r="BF263" i="8"/>
  <c r="BC263" i="8"/>
  <c r="AV263" i="8"/>
  <c r="AU263" i="8"/>
  <c r="AS263" i="8"/>
  <c r="AN263" i="8"/>
  <c r="AM263" i="8"/>
  <c r="AK263" i="8"/>
  <c r="AH263" i="8"/>
  <c r="BO263" i="8" s="1"/>
  <c r="BQ263" i="8" s="1"/>
  <c r="BR263" i="8" s="1"/>
  <c r="AG263" i="8"/>
  <c r="AF263" i="8"/>
  <c r="AE263" i="8"/>
  <c r="AD263" i="8"/>
  <c r="AC263" i="8"/>
  <c r="AB263" i="8"/>
  <c r="AT263" i="8" s="1"/>
  <c r="AW263" i="8" s="1"/>
  <c r="AX263" i="8" s="1"/>
  <c r="AA263" i="8"/>
  <c r="Z263" i="8"/>
  <c r="Y263" i="8"/>
  <c r="X263" i="8"/>
  <c r="W263" i="8"/>
  <c r="V263" i="8"/>
  <c r="U263" i="8"/>
  <c r="T263" i="8"/>
  <c r="S263" i="8"/>
  <c r="CO262" i="8"/>
  <c r="CN262" i="8"/>
  <c r="CM262" i="8"/>
  <c r="CL262" i="8"/>
  <c r="CF262" i="8"/>
  <c r="CA262" i="8"/>
  <c r="BP262" i="8"/>
  <c r="BN262" i="8"/>
  <c r="BI262" i="8"/>
  <c r="BH262" i="8"/>
  <c r="BF262" i="8"/>
  <c r="BC262" i="8"/>
  <c r="AV262" i="8"/>
  <c r="AU262" i="8"/>
  <c r="AS262" i="8"/>
  <c r="AN262" i="8"/>
  <c r="AM262" i="8"/>
  <c r="AK262" i="8"/>
  <c r="AH262" i="8"/>
  <c r="BO262" i="8" s="1"/>
  <c r="BQ262" i="8" s="1"/>
  <c r="BR262" i="8" s="1"/>
  <c r="AG262" i="8"/>
  <c r="AF262" i="8"/>
  <c r="AE262" i="8"/>
  <c r="AD262" i="8"/>
  <c r="AC262" i="8"/>
  <c r="AB262" i="8"/>
  <c r="AA262" i="8"/>
  <c r="Z262" i="8"/>
  <c r="Y262" i="8"/>
  <c r="X262" i="8"/>
  <c r="W262" i="8"/>
  <c r="V262" i="8"/>
  <c r="U262" i="8"/>
  <c r="T262" i="8"/>
  <c r="S262" i="8"/>
  <c r="CO261" i="8"/>
  <c r="CN261" i="8"/>
  <c r="CM261" i="8"/>
  <c r="CL261" i="8"/>
  <c r="CF261" i="8"/>
  <c r="CA261" i="8"/>
  <c r="BP261" i="8"/>
  <c r="BN261" i="8"/>
  <c r="BI261" i="8"/>
  <c r="BH261" i="8"/>
  <c r="BF261" i="8"/>
  <c r="BC261" i="8"/>
  <c r="AV261" i="8"/>
  <c r="AU261" i="8"/>
  <c r="AS261" i="8"/>
  <c r="AN261" i="8"/>
  <c r="AM261" i="8"/>
  <c r="AK261" i="8"/>
  <c r="AH261" i="8"/>
  <c r="BG261" i="8" s="1"/>
  <c r="BL261" i="8" s="1"/>
  <c r="AG261" i="8"/>
  <c r="AF261" i="8"/>
  <c r="AE261" i="8"/>
  <c r="AD261" i="8"/>
  <c r="AC261" i="8"/>
  <c r="AB261" i="8"/>
  <c r="AL261" i="8" s="1"/>
  <c r="AQ261" i="8" s="1"/>
  <c r="AA261" i="8"/>
  <c r="Z261" i="8"/>
  <c r="Y261" i="8"/>
  <c r="X261" i="8"/>
  <c r="W261" i="8"/>
  <c r="V261" i="8"/>
  <c r="U261" i="8"/>
  <c r="T261" i="8"/>
  <c r="S261" i="8"/>
  <c r="CO260" i="8"/>
  <c r="CN260" i="8"/>
  <c r="CM260" i="8"/>
  <c r="CL260" i="8"/>
  <c r="CF260" i="8"/>
  <c r="CA260" i="8"/>
  <c r="BP260" i="8"/>
  <c r="BN260" i="8"/>
  <c r="BI260" i="8"/>
  <c r="BH260" i="8"/>
  <c r="BF260" i="8"/>
  <c r="BC260" i="8"/>
  <c r="AV260" i="8"/>
  <c r="AU260" i="8"/>
  <c r="AS260" i="8"/>
  <c r="AN260" i="8"/>
  <c r="AM260" i="8"/>
  <c r="AK260" i="8"/>
  <c r="AH260" i="8"/>
  <c r="AG260" i="8"/>
  <c r="AF260" i="8"/>
  <c r="AE260" i="8"/>
  <c r="AD260" i="8"/>
  <c r="AC260" i="8"/>
  <c r="AB260" i="8"/>
  <c r="AJ260" i="8" s="1"/>
  <c r="AO260" i="8" s="1"/>
  <c r="AP260" i="8" s="1"/>
  <c r="AA260" i="8"/>
  <c r="Z260" i="8"/>
  <c r="Y260" i="8"/>
  <c r="X260" i="8"/>
  <c r="W260" i="8"/>
  <c r="V260" i="8"/>
  <c r="U260" i="8"/>
  <c r="T260" i="8"/>
  <c r="S260" i="8"/>
  <c r="CO259" i="8"/>
  <c r="CN259" i="8"/>
  <c r="CM259" i="8"/>
  <c r="CL259" i="8"/>
  <c r="CF259" i="8"/>
  <c r="CA259" i="8"/>
  <c r="BP259" i="8"/>
  <c r="BN259" i="8"/>
  <c r="BI259" i="8"/>
  <c r="BH259" i="8"/>
  <c r="BF259" i="8"/>
  <c r="BC259" i="8"/>
  <c r="AV259" i="8"/>
  <c r="AU259" i="8"/>
  <c r="AS259" i="8"/>
  <c r="AN259" i="8"/>
  <c r="AM259" i="8"/>
  <c r="AK259" i="8"/>
  <c r="AH259" i="8"/>
  <c r="AG259" i="8"/>
  <c r="AF259" i="8"/>
  <c r="AE259" i="8"/>
  <c r="AD259" i="8"/>
  <c r="AC259" i="8"/>
  <c r="AB259" i="8"/>
  <c r="AL259" i="8" s="1"/>
  <c r="AQ259" i="8" s="1"/>
  <c r="AA259" i="8"/>
  <c r="Z259" i="8"/>
  <c r="Y259" i="8"/>
  <c r="X259" i="8"/>
  <c r="W259" i="8"/>
  <c r="V259" i="8"/>
  <c r="U259" i="8"/>
  <c r="T259" i="8"/>
  <c r="S259" i="8"/>
  <c r="CO258" i="8"/>
  <c r="CN258" i="8"/>
  <c r="CM258" i="8"/>
  <c r="CL258" i="8"/>
  <c r="CF258" i="8"/>
  <c r="CA258" i="8"/>
  <c r="BP258" i="8"/>
  <c r="BN258" i="8"/>
  <c r="BI258" i="8"/>
  <c r="BH258" i="8"/>
  <c r="BF258" i="8"/>
  <c r="BC258" i="8"/>
  <c r="AV258" i="8"/>
  <c r="AU258" i="8"/>
  <c r="AS258" i="8"/>
  <c r="AN258" i="8"/>
  <c r="AM258" i="8"/>
  <c r="AK258" i="8"/>
  <c r="AH258" i="8"/>
  <c r="BO258" i="8" s="1"/>
  <c r="BQ258" i="8" s="1"/>
  <c r="BR258" i="8" s="1"/>
  <c r="AG258" i="8"/>
  <c r="AF258" i="8"/>
  <c r="AE258" i="8"/>
  <c r="AD258" i="8"/>
  <c r="AC258" i="8"/>
  <c r="AB258" i="8"/>
  <c r="AJ258" i="8" s="1"/>
  <c r="AO258" i="8" s="1"/>
  <c r="AP258" i="8" s="1"/>
  <c r="AA258" i="8"/>
  <c r="Z258" i="8"/>
  <c r="Y258" i="8"/>
  <c r="X258" i="8"/>
  <c r="W258" i="8"/>
  <c r="V258" i="8"/>
  <c r="U258" i="8"/>
  <c r="T258" i="8"/>
  <c r="S258" i="8"/>
  <c r="CO257" i="8"/>
  <c r="CN257" i="8"/>
  <c r="CM257" i="8"/>
  <c r="CL257" i="8"/>
  <c r="CF257" i="8"/>
  <c r="CA257" i="8"/>
  <c r="BP257" i="8"/>
  <c r="BN257" i="8"/>
  <c r="BI257" i="8"/>
  <c r="BH257" i="8"/>
  <c r="BF257" i="8"/>
  <c r="BC257" i="8"/>
  <c r="AV257" i="8"/>
  <c r="AU257" i="8"/>
  <c r="AS257" i="8"/>
  <c r="AN257" i="8"/>
  <c r="AM257" i="8"/>
  <c r="AK257" i="8"/>
  <c r="AH257" i="8"/>
  <c r="BO257" i="8" s="1"/>
  <c r="BQ257" i="8" s="1"/>
  <c r="BR257" i="8" s="1"/>
  <c r="AG257" i="8"/>
  <c r="AF257" i="8"/>
  <c r="AE257" i="8"/>
  <c r="AD257" i="8"/>
  <c r="AC257" i="8"/>
  <c r="AB257" i="8"/>
  <c r="AA257" i="8"/>
  <c r="Z257" i="8"/>
  <c r="Y257" i="8"/>
  <c r="X257" i="8"/>
  <c r="W257" i="8"/>
  <c r="V257" i="8"/>
  <c r="U257" i="8"/>
  <c r="T257" i="8"/>
  <c r="S257" i="8"/>
  <c r="CO256" i="8"/>
  <c r="CN256" i="8"/>
  <c r="CM256" i="8"/>
  <c r="CL256" i="8"/>
  <c r="CF256" i="8"/>
  <c r="CA256" i="8"/>
  <c r="BP256" i="8"/>
  <c r="BN256" i="8"/>
  <c r="BI256" i="8"/>
  <c r="BH256" i="8"/>
  <c r="BF256" i="8"/>
  <c r="BC256" i="8"/>
  <c r="AV256" i="8"/>
  <c r="AU256" i="8"/>
  <c r="AS256" i="8"/>
  <c r="AN256" i="8"/>
  <c r="AM256" i="8"/>
  <c r="AK256" i="8"/>
  <c r="AH256" i="8"/>
  <c r="AG256" i="8"/>
  <c r="AF256" i="8"/>
  <c r="AE256" i="8"/>
  <c r="AD256" i="8"/>
  <c r="AC256" i="8"/>
  <c r="AB256" i="8"/>
  <c r="AJ256" i="8" s="1"/>
  <c r="AO256" i="8" s="1"/>
  <c r="AP256" i="8" s="1"/>
  <c r="AA256" i="8"/>
  <c r="Z256" i="8"/>
  <c r="Y256" i="8"/>
  <c r="X256" i="8"/>
  <c r="W256" i="8"/>
  <c r="V256" i="8"/>
  <c r="U256" i="8"/>
  <c r="T256" i="8"/>
  <c r="S256" i="8"/>
  <c r="CN255" i="8"/>
  <c r="CO255" i="8" s="1"/>
  <c r="CL255" i="8"/>
  <c r="BP255" i="8"/>
  <c r="BN255" i="8"/>
  <c r="BI255" i="8"/>
  <c r="BH255" i="8"/>
  <c r="BF255" i="8"/>
  <c r="AU255" i="8"/>
  <c r="AS255" i="8"/>
  <c r="AN255" i="8"/>
  <c r="AM255" i="8"/>
  <c r="AK255" i="8"/>
  <c r="AG255" i="8"/>
  <c r="AF255" i="8"/>
  <c r="AE255" i="8"/>
  <c r="AD255" i="8"/>
  <c r="AC255" i="8"/>
  <c r="AA255" i="8"/>
  <c r="Z255" i="8"/>
  <c r="Y255" i="8"/>
  <c r="X255" i="8"/>
  <c r="W255" i="8"/>
  <c r="V255" i="8"/>
  <c r="U255" i="8"/>
  <c r="AV255" i="8" s="1"/>
  <c r="T255" i="8"/>
  <c r="S255" i="8"/>
  <c r="CN254" i="8"/>
  <c r="CL254" i="8"/>
  <c r="BP254" i="8"/>
  <c r="BN254" i="8"/>
  <c r="BI254" i="8"/>
  <c r="BH254" i="8"/>
  <c r="BF254" i="8"/>
  <c r="AU254" i="8"/>
  <c r="AS254" i="8"/>
  <c r="AN254" i="8"/>
  <c r="AM254" i="8"/>
  <c r="AK254" i="8"/>
  <c r="AG254" i="8"/>
  <c r="AF254" i="8"/>
  <c r="AE254" i="8"/>
  <c r="AD254" i="8"/>
  <c r="AC254" i="8"/>
  <c r="AA254" i="8"/>
  <c r="Z254" i="8"/>
  <c r="AB254" i="8" s="1"/>
  <c r="AT254" i="8" s="1"/>
  <c r="Y254" i="8"/>
  <c r="X254" i="8"/>
  <c r="W254" i="8"/>
  <c r="V254" i="8"/>
  <c r="U254" i="8"/>
  <c r="AV254" i="8" s="1"/>
  <c r="T254" i="8"/>
  <c r="S254" i="8"/>
  <c r="CN253" i="8"/>
  <c r="CO253" i="8" s="1"/>
  <c r="CL253" i="8"/>
  <c r="CM253" i="8" s="1"/>
  <c r="BP253" i="8"/>
  <c r="BN253" i="8"/>
  <c r="BI253" i="8"/>
  <c r="BH253" i="8"/>
  <c r="BF253" i="8"/>
  <c r="AV253" i="8"/>
  <c r="AU253" i="8"/>
  <c r="AS253" i="8"/>
  <c r="AN253" i="8"/>
  <c r="AM253" i="8"/>
  <c r="AK253" i="8"/>
  <c r="AG253" i="8"/>
  <c r="AF253" i="8"/>
  <c r="AE253" i="8"/>
  <c r="AD253" i="8"/>
  <c r="AC253" i="8"/>
  <c r="AA253" i="8"/>
  <c r="Z253" i="8"/>
  <c r="Y253" i="8"/>
  <c r="X253" i="8"/>
  <c r="W253" i="8"/>
  <c r="V253" i="8"/>
  <c r="U253" i="8"/>
  <c r="T253" i="8"/>
  <c r="S253" i="8"/>
  <c r="CO247" i="8"/>
  <c r="CN247" i="8"/>
  <c r="CM247" i="8"/>
  <c r="CL247" i="8"/>
  <c r="CF247" i="8"/>
  <c r="CA247" i="8"/>
  <c r="BP247" i="8"/>
  <c r="BN247" i="8"/>
  <c r="BI247" i="8"/>
  <c r="BH247" i="8"/>
  <c r="BF247" i="8"/>
  <c r="BC247" i="8"/>
  <c r="AV247" i="8"/>
  <c r="AU247" i="8"/>
  <c r="AS247" i="8"/>
  <c r="AN247" i="8"/>
  <c r="AM247" i="8"/>
  <c r="AK247" i="8"/>
  <c r="AH247" i="8"/>
  <c r="BE247" i="8" s="1"/>
  <c r="BJ247" i="8" s="1"/>
  <c r="BK247" i="8" s="1"/>
  <c r="AG247" i="8"/>
  <c r="AF247" i="8"/>
  <c r="AE247" i="8"/>
  <c r="AD247" i="8"/>
  <c r="AC247" i="8"/>
  <c r="AB247" i="8"/>
  <c r="AT247" i="8" s="1"/>
  <c r="AW247" i="8" s="1"/>
  <c r="AX247" i="8" s="1"/>
  <c r="AA247" i="8"/>
  <c r="Z247" i="8"/>
  <c r="Y247" i="8"/>
  <c r="X247" i="8"/>
  <c r="W247" i="8"/>
  <c r="V247" i="8"/>
  <c r="U247" i="8"/>
  <c r="T247" i="8"/>
  <c r="S247" i="8"/>
  <c r="CO246" i="8"/>
  <c r="CN246" i="8"/>
  <c r="CM246" i="8"/>
  <c r="CL246" i="8"/>
  <c r="CF246" i="8"/>
  <c r="CA246" i="8"/>
  <c r="BP246" i="8"/>
  <c r="BN246" i="8"/>
  <c r="BI246" i="8"/>
  <c r="BH246" i="8"/>
  <c r="BF246" i="8"/>
  <c r="BC246" i="8"/>
  <c r="AV246" i="8"/>
  <c r="AU246" i="8"/>
  <c r="AS246" i="8"/>
  <c r="AN246" i="8"/>
  <c r="AM246" i="8"/>
  <c r="AK246" i="8"/>
  <c r="AH246" i="8"/>
  <c r="BE246" i="8" s="1"/>
  <c r="BJ246" i="8" s="1"/>
  <c r="BK246" i="8" s="1"/>
  <c r="AG246" i="8"/>
  <c r="AF246" i="8"/>
  <c r="AE246" i="8"/>
  <c r="AD246" i="8"/>
  <c r="AC246" i="8"/>
  <c r="AB246" i="8"/>
  <c r="AA246" i="8"/>
  <c r="Z246" i="8"/>
  <c r="Y246" i="8"/>
  <c r="X246" i="8"/>
  <c r="W246" i="8"/>
  <c r="V246" i="8"/>
  <c r="U246" i="8"/>
  <c r="T246" i="8"/>
  <c r="S246" i="8"/>
  <c r="CO245" i="8"/>
  <c r="CN245" i="8"/>
  <c r="CM245" i="8"/>
  <c r="CL245" i="8"/>
  <c r="CF245" i="8"/>
  <c r="CA245" i="8"/>
  <c r="BP245" i="8"/>
  <c r="BN245" i="8"/>
  <c r="BI245" i="8"/>
  <c r="BH245" i="8"/>
  <c r="BF245" i="8"/>
  <c r="BC245" i="8"/>
  <c r="AV245" i="8"/>
  <c r="AU245" i="8"/>
  <c r="AS245" i="8"/>
  <c r="AN245" i="8"/>
  <c r="AM245" i="8"/>
  <c r="AK245" i="8"/>
  <c r="AH245" i="8"/>
  <c r="BE245" i="8" s="1"/>
  <c r="BJ245" i="8" s="1"/>
  <c r="BK245" i="8" s="1"/>
  <c r="BV245" i="8" s="1"/>
  <c r="AG245" i="8"/>
  <c r="AF245" i="8"/>
  <c r="AE245" i="8"/>
  <c r="AD245" i="8"/>
  <c r="AC245" i="8"/>
  <c r="AB245" i="8"/>
  <c r="AT245" i="8" s="1"/>
  <c r="AW245" i="8" s="1"/>
  <c r="AX245" i="8" s="1"/>
  <c r="AA245" i="8"/>
  <c r="Z245" i="8"/>
  <c r="Y245" i="8"/>
  <c r="X245" i="8"/>
  <c r="W245" i="8"/>
  <c r="V245" i="8"/>
  <c r="U245" i="8"/>
  <c r="T245" i="8"/>
  <c r="S245" i="8"/>
  <c r="CO244" i="8"/>
  <c r="CN244" i="8"/>
  <c r="CM244" i="8"/>
  <c r="CL244" i="8"/>
  <c r="CF244" i="8"/>
  <c r="CA244" i="8"/>
  <c r="BP244" i="8"/>
  <c r="BN244" i="8"/>
  <c r="BI244" i="8"/>
  <c r="BH244" i="8"/>
  <c r="BF244" i="8"/>
  <c r="BC244" i="8"/>
  <c r="AV244" i="8"/>
  <c r="AU244" i="8"/>
  <c r="AS244" i="8"/>
  <c r="AN244" i="8"/>
  <c r="AM244" i="8"/>
  <c r="AK244" i="8"/>
  <c r="AH244" i="8"/>
  <c r="BE244" i="8" s="1"/>
  <c r="BJ244" i="8" s="1"/>
  <c r="BK244" i="8" s="1"/>
  <c r="BT244" i="8" s="1"/>
  <c r="AG244" i="8"/>
  <c r="AF244" i="8"/>
  <c r="AE244" i="8"/>
  <c r="AD244" i="8"/>
  <c r="AC244" i="8"/>
  <c r="AB244" i="8"/>
  <c r="AJ244" i="8" s="1"/>
  <c r="AO244" i="8" s="1"/>
  <c r="AP244" i="8" s="1"/>
  <c r="AA244" i="8"/>
  <c r="Z244" i="8"/>
  <c r="Y244" i="8"/>
  <c r="X244" i="8"/>
  <c r="W244" i="8"/>
  <c r="V244" i="8"/>
  <c r="U244" i="8"/>
  <c r="T244" i="8"/>
  <c r="S244" i="8"/>
  <c r="CO243" i="8"/>
  <c r="CN243" i="8"/>
  <c r="CM243" i="8"/>
  <c r="CL243" i="8"/>
  <c r="CF243" i="8"/>
  <c r="CA243" i="8"/>
  <c r="BP243" i="8"/>
  <c r="BN243" i="8"/>
  <c r="BI243" i="8"/>
  <c r="BH243" i="8"/>
  <c r="BF243" i="8"/>
  <c r="BC243" i="8"/>
  <c r="AV243" i="8"/>
  <c r="AU243" i="8"/>
  <c r="AS243" i="8"/>
  <c r="AN243" i="8"/>
  <c r="AM243" i="8"/>
  <c r="AK243" i="8"/>
  <c r="AH243" i="8"/>
  <c r="BE243" i="8" s="1"/>
  <c r="BJ243" i="8" s="1"/>
  <c r="BK243" i="8" s="1"/>
  <c r="AG243" i="8"/>
  <c r="AF243" i="8"/>
  <c r="AE243" i="8"/>
  <c r="AD243" i="8"/>
  <c r="AC243" i="8"/>
  <c r="AB243" i="8"/>
  <c r="AT243" i="8" s="1"/>
  <c r="AW243" i="8" s="1"/>
  <c r="AX243" i="8" s="1"/>
  <c r="AA243" i="8"/>
  <c r="Z243" i="8"/>
  <c r="Y243" i="8"/>
  <c r="X243" i="8"/>
  <c r="W243" i="8"/>
  <c r="V243" i="8"/>
  <c r="U243" i="8"/>
  <c r="T243" i="8"/>
  <c r="S243" i="8"/>
  <c r="CO242" i="8"/>
  <c r="CN242" i="8"/>
  <c r="CM242" i="8"/>
  <c r="CL242" i="8"/>
  <c r="CF242" i="8"/>
  <c r="CA242" i="8"/>
  <c r="BP242" i="8"/>
  <c r="BN242" i="8"/>
  <c r="BI242" i="8"/>
  <c r="BH242" i="8"/>
  <c r="BF242" i="8"/>
  <c r="BC242" i="8"/>
  <c r="AV242" i="8"/>
  <c r="AU242" i="8"/>
  <c r="AS242" i="8"/>
  <c r="AN242" i="8"/>
  <c r="AM242" i="8"/>
  <c r="AK242" i="8"/>
  <c r="AH242" i="8"/>
  <c r="BO242" i="8" s="1"/>
  <c r="BQ242" i="8" s="1"/>
  <c r="BR242" i="8" s="1"/>
  <c r="AG242" i="8"/>
  <c r="AF242" i="8"/>
  <c r="AE242" i="8"/>
  <c r="AD242" i="8"/>
  <c r="AC242" i="8"/>
  <c r="AB242" i="8"/>
  <c r="AA242" i="8"/>
  <c r="Z242" i="8"/>
  <c r="Y242" i="8"/>
  <c r="X242" i="8"/>
  <c r="W242" i="8"/>
  <c r="V242" i="8"/>
  <c r="U242" i="8"/>
  <c r="T242" i="8"/>
  <c r="S242" i="8"/>
  <c r="CO241" i="8"/>
  <c r="CN241" i="8"/>
  <c r="CM241" i="8"/>
  <c r="CL241" i="8"/>
  <c r="CF241" i="8"/>
  <c r="CA241" i="8"/>
  <c r="BP241" i="8"/>
  <c r="BN241" i="8"/>
  <c r="BI241" i="8"/>
  <c r="BH241" i="8"/>
  <c r="BF241" i="8"/>
  <c r="BC241" i="8"/>
  <c r="AV241" i="8"/>
  <c r="AU241" i="8"/>
  <c r="AS241" i="8"/>
  <c r="AN241" i="8"/>
  <c r="AM241" i="8"/>
  <c r="AK241" i="8"/>
  <c r="AH241" i="8"/>
  <c r="BE241" i="8" s="1"/>
  <c r="BJ241" i="8" s="1"/>
  <c r="BK241" i="8" s="1"/>
  <c r="BV241" i="8" s="1"/>
  <c r="AG241" i="8"/>
  <c r="AF241" i="8"/>
  <c r="AE241" i="8"/>
  <c r="AD241" i="8"/>
  <c r="AC241" i="8"/>
  <c r="AB241" i="8"/>
  <c r="AT241" i="8" s="1"/>
  <c r="AW241" i="8" s="1"/>
  <c r="AX241" i="8" s="1"/>
  <c r="AA241" i="8"/>
  <c r="Z241" i="8"/>
  <c r="Y241" i="8"/>
  <c r="X241" i="8"/>
  <c r="W241" i="8"/>
  <c r="V241" i="8"/>
  <c r="U241" i="8"/>
  <c r="T241" i="8"/>
  <c r="S241" i="8"/>
  <c r="CO240" i="8"/>
  <c r="CN240" i="8"/>
  <c r="CM240" i="8"/>
  <c r="CL240" i="8"/>
  <c r="CF240" i="8"/>
  <c r="CA240" i="8"/>
  <c r="BP240" i="8"/>
  <c r="BN240" i="8"/>
  <c r="BI240" i="8"/>
  <c r="BH240" i="8"/>
  <c r="BF240" i="8"/>
  <c r="BC240" i="8"/>
  <c r="AV240" i="8"/>
  <c r="AU240" i="8"/>
  <c r="AS240" i="8"/>
  <c r="AN240" i="8"/>
  <c r="AM240" i="8"/>
  <c r="AK240" i="8"/>
  <c r="AH240" i="8"/>
  <c r="AG240" i="8"/>
  <c r="AF240" i="8"/>
  <c r="AE240" i="8"/>
  <c r="AD240" i="8"/>
  <c r="AC240" i="8"/>
  <c r="AB240" i="8"/>
  <c r="AJ240" i="8" s="1"/>
  <c r="AO240" i="8" s="1"/>
  <c r="AP240" i="8" s="1"/>
  <c r="AA240" i="8"/>
  <c r="Z240" i="8"/>
  <c r="Y240" i="8"/>
  <c r="X240" i="8"/>
  <c r="W240" i="8"/>
  <c r="V240" i="8"/>
  <c r="U240" i="8"/>
  <c r="T240" i="8"/>
  <c r="S240" i="8"/>
  <c r="CO239" i="8"/>
  <c r="CN239" i="8"/>
  <c r="CM239" i="8"/>
  <c r="CL239" i="8"/>
  <c r="CF239" i="8"/>
  <c r="CA239" i="8"/>
  <c r="BP239" i="8"/>
  <c r="BN239" i="8"/>
  <c r="BI239" i="8"/>
  <c r="BH239" i="8"/>
  <c r="BF239" i="8"/>
  <c r="BC239" i="8"/>
  <c r="AV239" i="8"/>
  <c r="AU239" i="8"/>
  <c r="AS239" i="8"/>
  <c r="AN239" i="8"/>
  <c r="AM239" i="8"/>
  <c r="AK239" i="8"/>
  <c r="AH239" i="8"/>
  <c r="BE239" i="8" s="1"/>
  <c r="BJ239" i="8" s="1"/>
  <c r="BK239" i="8" s="1"/>
  <c r="AG239" i="8"/>
  <c r="AF239" i="8"/>
  <c r="AE239" i="8"/>
  <c r="AD239" i="8"/>
  <c r="AC239" i="8"/>
  <c r="AB239" i="8"/>
  <c r="AT239" i="8" s="1"/>
  <c r="AW239" i="8" s="1"/>
  <c r="AX239" i="8" s="1"/>
  <c r="AA239" i="8"/>
  <c r="Z239" i="8"/>
  <c r="Y239" i="8"/>
  <c r="X239" i="8"/>
  <c r="W239" i="8"/>
  <c r="V239" i="8"/>
  <c r="U239" i="8"/>
  <c r="T239" i="8"/>
  <c r="S239" i="8"/>
  <c r="CO238" i="8"/>
  <c r="CN238" i="8"/>
  <c r="CM238" i="8"/>
  <c r="CL238" i="8"/>
  <c r="CF238" i="8"/>
  <c r="CA238" i="8"/>
  <c r="BP238" i="8"/>
  <c r="BN238" i="8"/>
  <c r="BI238" i="8"/>
  <c r="BH238" i="8"/>
  <c r="BF238" i="8"/>
  <c r="BC238" i="8"/>
  <c r="AV238" i="8"/>
  <c r="AU238" i="8"/>
  <c r="AS238" i="8"/>
  <c r="AN238" i="8"/>
  <c r="AM238" i="8"/>
  <c r="AK238" i="8"/>
  <c r="AH238" i="8"/>
  <c r="BE238" i="8" s="1"/>
  <c r="BJ238" i="8" s="1"/>
  <c r="BK238" i="8" s="1"/>
  <c r="BT238" i="8" s="1"/>
  <c r="AG238" i="8"/>
  <c r="AF238" i="8"/>
  <c r="AE238" i="8"/>
  <c r="AD238" i="8"/>
  <c r="AC238" i="8"/>
  <c r="AB238" i="8"/>
  <c r="AJ238" i="8" s="1"/>
  <c r="AO238" i="8" s="1"/>
  <c r="AP238" i="8" s="1"/>
  <c r="AA238" i="8"/>
  <c r="Z238" i="8"/>
  <c r="Y238" i="8"/>
  <c r="X238" i="8"/>
  <c r="W238" i="8"/>
  <c r="V238" i="8"/>
  <c r="U238" i="8"/>
  <c r="T238" i="8"/>
  <c r="S238" i="8"/>
  <c r="CO237" i="8"/>
  <c r="CN237" i="8"/>
  <c r="CM237" i="8"/>
  <c r="CL237" i="8"/>
  <c r="CF237" i="8"/>
  <c r="CA237" i="8"/>
  <c r="BP237" i="8"/>
  <c r="BN237" i="8"/>
  <c r="BI237" i="8"/>
  <c r="BH237" i="8"/>
  <c r="BF237" i="8"/>
  <c r="BC237" i="8"/>
  <c r="AV237" i="8"/>
  <c r="AU237" i="8"/>
  <c r="AS237" i="8"/>
  <c r="AN237" i="8"/>
  <c r="AM237" i="8"/>
  <c r="AK237" i="8"/>
  <c r="AH237" i="8"/>
  <c r="BO237" i="8" s="1"/>
  <c r="BQ237" i="8" s="1"/>
  <c r="BR237" i="8" s="1"/>
  <c r="AG237" i="8"/>
  <c r="AF237" i="8"/>
  <c r="AE237" i="8"/>
  <c r="AD237" i="8"/>
  <c r="AC237" i="8"/>
  <c r="AB237" i="8"/>
  <c r="AA237" i="8"/>
  <c r="Z237" i="8"/>
  <c r="Y237" i="8"/>
  <c r="X237" i="8"/>
  <c r="W237" i="8"/>
  <c r="V237" i="8"/>
  <c r="U237" i="8"/>
  <c r="T237" i="8"/>
  <c r="S237" i="8"/>
  <c r="CO236" i="8"/>
  <c r="CN236" i="8"/>
  <c r="CM236" i="8"/>
  <c r="CL236" i="8"/>
  <c r="CF236" i="8"/>
  <c r="CA236" i="8"/>
  <c r="BP236" i="8"/>
  <c r="BN236" i="8"/>
  <c r="BI236" i="8"/>
  <c r="BH236" i="8"/>
  <c r="BF236" i="8"/>
  <c r="BC236" i="8"/>
  <c r="AV236" i="8"/>
  <c r="AU236" i="8"/>
  <c r="AS236" i="8"/>
  <c r="AN236" i="8"/>
  <c r="AM236" i="8"/>
  <c r="AK236" i="8"/>
  <c r="AH236" i="8"/>
  <c r="AG236" i="8"/>
  <c r="AF236" i="8"/>
  <c r="AE236" i="8"/>
  <c r="AD236" i="8"/>
  <c r="AC236" i="8"/>
  <c r="AB236" i="8"/>
  <c r="AA236" i="8"/>
  <c r="Z236" i="8"/>
  <c r="Y236" i="8"/>
  <c r="X236" i="8"/>
  <c r="W236" i="8"/>
  <c r="V236" i="8"/>
  <c r="U236" i="8"/>
  <c r="T236" i="8"/>
  <c r="S236" i="8"/>
  <c r="CO235" i="8"/>
  <c r="CN235" i="8"/>
  <c r="CM235" i="8"/>
  <c r="CL235" i="8"/>
  <c r="CF235" i="8"/>
  <c r="CA235" i="8"/>
  <c r="BP235" i="8"/>
  <c r="BN235" i="8"/>
  <c r="BI235" i="8"/>
  <c r="BH235" i="8"/>
  <c r="BF235" i="8"/>
  <c r="BC235" i="8"/>
  <c r="AV235" i="8"/>
  <c r="AU235" i="8"/>
  <c r="AS235" i="8"/>
  <c r="AN235" i="8"/>
  <c r="AM235" i="8"/>
  <c r="AK235" i="8"/>
  <c r="AH235" i="8"/>
  <c r="AG235" i="8"/>
  <c r="AF235" i="8"/>
  <c r="AE235" i="8"/>
  <c r="AD235" i="8"/>
  <c r="AC235" i="8"/>
  <c r="AB235" i="8"/>
  <c r="AA235" i="8"/>
  <c r="Z235" i="8"/>
  <c r="Y235" i="8"/>
  <c r="X235" i="8"/>
  <c r="W235" i="8"/>
  <c r="V235" i="8"/>
  <c r="U235" i="8"/>
  <c r="T235" i="8"/>
  <c r="S235" i="8"/>
  <c r="CO234" i="8"/>
  <c r="CN234" i="8"/>
  <c r="CM234" i="8"/>
  <c r="CL234" i="8"/>
  <c r="CF234" i="8"/>
  <c r="CA234" i="8"/>
  <c r="BP234" i="8"/>
  <c r="BN234" i="8"/>
  <c r="BI234" i="8"/>
  <c r="BH234" i="8"/>
  <c r="BF234" i="8"/>
  <c r="BC234" i="8"/>
  <c r="AV234" i="8"/>
  <c r="AU234" i="8"/>
  <c r="AS234" i="8"/>
  <c r="AN234" i="8"/>
  <c r="AM234" i="8"/>
  <c r="AK234" i="8"/>
  <c r="AH234" i="8"/>
  <c r="AG234" i="8"/>
  <c r="AF234" i="8"/>
  <c r="AE234" i="8"/>
  <c r="AD234" i="8"/>
  <c r="AC234" i="8"/>
  <c r="AB234" i="8"/>
  <c r="AJ234" i="8" s="1"/>
  <c r="AO234" i="8" s="1"/>
  <c r="AP234" i="8" s="1"/>
  <c r="BB234" i="8" s="1"/>
  <c r="AA234" i="8"/>
  <c r="Z234" i="8"/>
  <c r="Y234" i="8"/>
  <c r="X234" i="8"/>
  <c r="W234" i="8"/>
  <c r="V234" i="8"/>
  <c r="U234" i="8"/>
  <c r="T234" i="8"/>
  <c r="S234" i="8"/>
  <c r="CO233" i="8"/>
  <c r="CN233" i="8"/>
  <c r="CM233" i="8"/>
  <c r="CL233" i="8"/>
  <c r="CF233" i="8"/>
  <c r="CA233" i="8"/>
  <c r="BP233" i="8"/>
  <c r="BN233" i="8"/>
  <c r="BI233" i="8"/>
  <c r="BH233" i="8"/>
  <c r="BF233" i="8"/>
  <c r="BC233" i="8"/>
  <c r="AV233" i="8"/>
  <c r="AU233" i="8"/>
  <c r="AS233" i="8"/>
  <c r="AN233" i="8"/>
  <c r="AM233" i="8"/>
  <c r="AK233" i="8"/>
  <c r="AH233" i="8"/>
  <c r="BE233" i="8" s="1"/>
  <c r="BJ233" i="8" s="1"/>
  <c r="BK233" i="8" s="1"/>
  <c r="AG233" i="8"/>
  <c r="AF233" i="8"/>
  <c r="AE233" i="8"/>
  <c r="AD233" i="8"/>
  <c r="AC233" i="8"/>
  <c r="AB233" i="8"/>
  <c r="AA233" i="8"/>
  <c r="Z233" i="8"/>
  <c r="Y233" i="8"/>
  <c r="X233" i="8"/>
  <c r="W233" i="8"/>
  <c r="V233" i="8"/>
  <c r="U233" i="8"/>
  <c r="T233" i="8"/>
  <c r="S233" i="8"/>
  <c r="CO232" i="8"/>
  <c r="CN232" i="8"/>
  <c r="CM232" i="8"/>
  <c r="CL232" i="8"/>
  <c r="CF232" i="8"/>
  <c r="CA232" i="8"/>
  <c r="BP232" i="8"/>
  <c r="BN232" i="8"/>
  <c r="BI232" i="8"/>
  <c r="BH232" i="8"/>
  <c r="BF232" i="8"/>
  <c r="BC232" i="8"/>
  <c r="AV232" i="8"/>
  <c r="AU232" i="8"/>
  <c r="AS232" i="8"/>
  <c r="AN232" i="8"/>
  <c r="AM232" i="8"/>
  <c r="AK232" i="8"/>
  <c r="AH232" i="8"/>
  <c r="AG232" i="8"/>
  <c r="AF232" i="8"/>
  <c r="AE232" i="8"/>
  <c r="AD232" i="8"/>
  <c r="AC232" i="8"/>
  <c r="AB232" i="8"/>
  <c r="AA232" i="8"/>
  <c r="Z232" i="8"/>
  <c r="Y232" i="8"/>
  <c r="X232" i="8"/>
  <c r="W232" i="8"/>
  <c r="V232" i="8"/>
  <c r="U232" i="8"/>
  <c r="T232" i="8"/>
  <c r="S232" i="8"/>
  <c r="CO231" i="8"/>
  <c r="CN231" i="8"/>
  <c r="CM231" i="8"/>
  <c r="CL231" i="8"/>
  <c r="CF231" i="8"/>
  <c r="CA231" i="8"/>
  <c r="BP231" i="8"/>
  <c r="BN231" i="8"/>
  <c r="BI231" i="8"/>
  <c r="BH231" i="8"/>
  <c r="BF231" i="8"/>
  <c r="BC231" i="8"/>
  <c r="AV231" i="8"/>
  <c r="AU231" i="8"/>
  <c r="AS231" i="8"/>
  <c r="AN231" i="8"/>
  <c r="AM231" i="8"/>
  <c r="AK231" i="8"/>
  <c r="AH231" i="8"/>
  <c r="BO231" i="8" s="1"/>
  <c r="BQ231" i="8" s="1"/>
  <c r="BR231" i="8" s="1"/>
  <c r="BS231" i="8" s="1"/>
  <c r="AG231" i="8"/>
  <c r="AF231" i="8"/>
  <c r="AE231" i="8"/>
  <c r="AD231" i="8"/>
  <c r="AC231" i="8"/>
  <c r="AB231" i="8"/>
  <c r="AA231" i="8"/>
  <c r="Z231" i="8"/>
  <c r="Y231" i="8"/>
  <c r="X231" i="8"/>
  <c r="W231" i="8"/>
  <c r="V231" i="8"/>
  <c r="U231" i="8"/>
  <c r="T231" i="8"/>
  <c r="S231" i="8"/>
  <c r="CO230" i="8"/>
  <c r="CN230" i="8"/>
  <c r="CM230" i="8"/>
  <c r="CL230" i="8"/>
  <c r="CF230" i="8"/>
  <c r="CA230" i="8"/>
  <c r="BP230" i="8"/>
  <c r="BN230" i="8"/>
  <c r="BI230" i="8"/>
  <c r="BH230" i="8"/>
  <c r="BF230" i="8"/>
  <c r="BC230" i="8"/>
  <c r="AV230" i="8"/>
  <c r="AU230" i="8"/>
  <c r="AS230" i="8"/>
  <c r="AN230" i="8"/>
  <c r="AM230" i="8"/>
  <c r="AK230" i="8"/>
  <c r="AH230" i="8"/>
  <c r="BO230" i="8" s="1"/>
  <c r="BQ230" i="8" s="1"/>
  <c r="BR230" i="8" s="1"/>
  <c r="AG230" i="8"/>
  <c r="AF230" i="8"/>
  <c r="AE230" i="8"/>
  <c r="AD230" i="8"/>
  <c r="AC230" i="8"/>
  <c r="AB230" i="8"/>
  <c r="AT230" i="8" s="1"/>
  <c r="AW230" i="8" s="1"/>
  <c r="AX230" i="8" s="1"/>
  <c r="AA230" i="8"/>
  <c r="Z230" i="8"/>
  <c r="Y230" i="8"/>
  <c r="X230" i="8"/>
  <c r="W230" i="8"/>
  <c r="V230" i="8"/>
  <c r="U230" i="8"/>
  <c r="T230" i="8"/>
  <c r="S230" i="8"/>
  <c r="CO229" i="8"/>
  <c r="CN229" i="8"/>
  <c r="CM229" i="8"/>
  <c r="CL229" i="8"/>
  <c r="CF229" i="8"/>
  <c r="CA229" i="8"/>
  <c r="BP229" i="8"/>
  <c r="BN229" i="8"/>
  <c r="BI229" i="8"/>
  <c r="BH229" i="8"/>
  <c r="BF229" i="8"/>
  <c r="BC229" i="8"/>
  <c r="AV229" i="8"/>
  <c r="AU229" i="8"/>
  <c r="AS229" i="8"/>
  <c r="AN229" i="8"/>
  <c r="AM229" i="8"/>
  <c r="AK229" i="8"/>
  <c r="AH229" i="8"/>
  <c r="BO229" i="8" s="1"/>
  <c r="BQ229" i="8" s="1"/>
  <c r="BR229" i="8" s="1"/>
  <c r="AG229" i="8"/>
  <c r="AF229" i="8"/>
  <c r="AE229" i="8"/>
  <c r="AD229" i="8"/>
  <c r="AC229" i="8"/>
  <c r="AB229" i="8"/>
  <c r="AA229" i="8"/>
  <c r="Z229" i="8"/>
  <c r="Y229" i="8"/>
  <c r="X229" i="8"/>
  <c r="W229" i="8"/>
  <c r="V229" i="8"/>
  <c r="U229" i="8"/>
  <c r="T229" i="8"/>
  <c r="S229" i="8"/>
  <c r="CO228" i="8"/>
  <c r="CN228" i="8"/>
  <c r="CM228" i="8"/>
  <c r="CL228" i="8"/>
  <c r="CF228" i="8"/>
  <c r="CA228" i="8"/>
  <c r="BP228" i="8"/>
  <c r="BN228" i="8"/>
  <c r="BI228" i="8"/>
  <c r="BH228" i="8"/>
  <c r="BF228" i="8"/>
  <c r="BC228" i="8"/>
  <c r="AV228" i="8"/>
  <c r="AU228" i="8"/>
  <c r="AS228" i="8"/>
  <c r="AN228" i="8"/>
  <c r="AM228" i="8"/>
  <c r="AK228" i="8"/>
  <c r="AH228" i="8"/>
  <c r="BO228" i="8" s="1"/>
  <c r="BQ228" i="8" s="1"/>
  <c r="BR228" i="8" s="1"/>
  <c r="AG228" i="8"/>
  <c r="AF228" i="8"/>
  <c r="AE228" i="8"/>
  <c r="AD228" i="8"/>
  <c r="AC228" i="8"/>
  <c r="AB228" i="8"/>
  <c r="AT228" i="8" s="1"/>
  <c r="AW228" i="8" s="1"/>
  <c r="AX228" i="8" s="1"/>
  <c r="AA228" i="8"/>
  <c r="Z228" i="8"/>
  <c r="Y228" i="8"/>
  <c r="X228" i="8"/>
  <c r="W228" i="8"/>
  <c r="V228" i="8"/>
  <c r="U228" i="8"/>
  <c r="T228" i="8"/>
  <c r="S228" i="8"/>
  <c r="CO227" i="8"/>
  <c r="CN227" i="8"/>
  <c r="CM227" i="8"/>
  <c r="CL227" i="8"/>
  <c r="CF227" i="8"/>
  <c r="CA227" i="8"/>
  <c r="BP227" i="8"/>
  <c r="BN227" i="8"/>
  <c r="BI227" i="8"/>
  <c r="BH227" i="8"/>
  <c r="BF227" i="8"/>
  <c r="BC227" i="8"/>
  <c r="AV227" i="8"/>
  <c r="AU227" i="8"/>
  <c r="AS227" i="8"/>
  <c r="AN227" i="8"/>
  <c r="AM227" i="8"/>
  <c r="AK227" i="8"/>
  <c r="AH227" i="8"/>
  <c r="AG227" i="8"/>
  <c r="AF227" i="8"/>
  <c r="AE227" i="8"/>
  <c r="AD227" i="8"/>
  <c r="AC227" i="8"/>
  <c r="AB227" i="8"/>
  <c r="AA227" i="8"/>
  <c r="Z227" i="8"/>
  <c r="Y227" i="8"/>
  <c r="X227" i="8"/>
  <c r="W227" i="8"/>
  <c r="V227" i="8"/>
  <c r="U227" i="8"/>
  <c r="T227" i="8"/>
  <c r="S227" i="8"/>
  <c r="CO226" i="8"/>
  <c r="CN226" i="8"/>
  <c r="CM226" i="8"/>
  <c r="CL226" i="8"/>
  <c r="CF226" i="8"/>
  <c r="CA226" i="8"/>
  <c r="BP226" i="8"/>
  <c r="BN226" i="8"/>
  <c r="BI226" i="8"/>
  <c r="BH226" i="8"/>
  <c r="BF226" i="8"/>
  <c r="BC226" i="8"/>
  <c r="AV226" i="8"/>
  <c r="AU226" i="8"/>
  <c r="AS226" i="8"/>
  <c r="AN226" i="8"/>
  <c r="AM226" i="8"/>
  <c r="AK226" i="8"/>
  <c r="AH226" i="8"/>
  <c r="AG226" i="8"/>
  <c r="AF226" i="8"/>
  <c r="AE226" i="8"/>
  <c r="AD226" i="8"/>
  <c r="AC226" i="8"/>
  <c r="AB226" i="8"/>
  <c r="AA226" i="8"/>
  <c r="Z226" i="8"/>
  <c r="Y226" i="8"/>
  <c r="X226" i="8"/>
  <c r="W226" i="8"/>
  <c r="V226" i="8"/>
  <c r="U226" i="8"/>
  <c r="T226" i="8"/>
  <c r="S226" i="8"/>
  <c r="CN225" i="8"/>
  <c r="CO225" i="8" s="1"/>
  <c r="CL225" i="8"/>
  <c r="BP225" i="8"/>
  <c r="BN225" i="8"/>
  <c r="BI225" i="8"/>
  <c r="BH225" i="8"/>
  <c r="BF225" i="8"/>
  <c r="AU225" i="8"/>
  <c r="AS225" i="8"/>
  <c r="AN225" i="8"/>
  <c r="AM225" i="8"/>
  <c r="AK225" i="8"/>
  <c r="AG225" i="8"/>
  <c r="AF225" i="8"/>
  <c r="AE225" i="8"/>
  <c r="AD225" i="8"/>
  <c r="AC225" i="8"/>
  <c r="AA225" i="8"/>
  <c r="Z225" i="8"/>
  <c r="Y225" i="8"/>
  <c r="X225" i="8"/>
  <c r="W225" i="8"/>
  <c r="V225" i="8"/>
  <c r="U225" i="8"/>
  <c r="AV225" i="8" s="1"/>
  <c r="T225" i="8"/>
  <c r="S225" i="8"/>
  <c r="CN224" i="8"/>
  <c r="CL224" i="8"/>
  <c r="BP224" i="8"/>
  <c r="BN224" i="8"/>
  <c r="BI224" i="8"/>
  <c r="BH224" i="8"/>
  <c r="BF224" i="8"/>
  <c r="AU224" i="8"/>
  <c r="AS224" i="8"/>
  <c r="AN224" i="8"/>
  <c r="AM224" i="8"/>
  <c r="AK224" i="8"/>
  <c r="AG224" i="8"/>
  <c r="AF224" i="8"/>
  <c r="AE224" i="8"/>
  <c r="AD224" i="8"/>
  <c r="AC224" i="8"/>
  <c r="AA224" i="8"/>
  <c r="Z224" i="8"/>
  <c r="Y224" i="8"/>
  <c r="X224" i="8"/>
  <c r="W224" i="8"/>
  <c r="V224" i="8"/>
  <c r="U224" i="8"/>
  <c r="AV224" i="8" s="1"/>
  <c r="T224" i="8"/>
  <c r="S224" i="8"/>
  <c r="CN223" i="8"/>
  <c r="CO223" i="8" s="1"/>
  <c r="CL223" i="8"/>
  <c r="CM223" i="8" s="1"/>
  <c r="BP223" i="8"/>
  <c r="BN223" i="8"/>
  <c r="BI223" i="8"/>
  <c r="BH223" i="8"/>
  <c r="BF223" i="8"/>
  <c r="AV223" i="8"/>
  <c r="AU223" i="8"/>
  <c r="AS223" i="8"/>
  <c r="AN223" i="8"/>
  <c r="AM223" i="8"/>
  <c r="AK223" i="8"/>
  <c r="AG223" i="8"/>
  <c r="AF223" i="8"/>
  <c r="AE223" i="8"/>
  <c r="AD223" i="8"/>
  <c r="AC223" i="8"/>
  <c r="AA223" i="8"/>
  <c r="Z223" i="8"/>
  <c r="Y223" i="8"/>
  <c r="X223" i="8"/>
  <c r="W223" i="8"/>
  <c r="V223" i="8"/>
  <c r="U223" i="8"/>
  <c r="T223" i="8"/>
  <c r="S223" i="8"/>
  <c r="CO217" i="8"/>
  <c r="CN217" i="8"/>
  <c r="CM217" i="8"/>
  <c r="CL217" i="8"/>
  <c r="CF217" i="8"/>
  <c r="CA217" i="8"/>
  <c r="BP217" i="8"/>
  <c r="BN217" i="8"/>
  <c r="BI217" i="8"/>
  <c r="BH217" i="8"/>
  <c r="BF217" i="8"/>
  <c r="BC217" i="8"/>
  <c r="AV217" i="8"/>
  <c r="AU217" i="8"/>
  <c r="AS217" i="8"/>
  <c r="AN217" i="8"/>
  <c r="AM217" i="8"/>
  <c r="AK217" i="8"/>
  <c r="AH217" i="8"/>
  <c r="AG217" i="8"/>
  <c r="AF217" i="8"/>
  <c r="AE217" i="8"/>
  <c r="AD217" i="8"/>
  <c r="AC217" i="8"/>
  <c r="AB217" i="8"/>
  <c r="AJ217" i="8" s="1"/>
  <c r="AO217" i="8" s="1"/>
  <c r="AP217" i="8" s="1"/>
  <c r="BY217" i="8" s="1"/>
  <c r="AA217" i="8"/>
  <c r="Z217" i="8"/>
  <c r="Y217" i="8"/>
  <c r="X217" i="8"/>
  <c r="W217" i="8"/>
  <c r="V217" i="8"/>
  <c r="U217" i="8"/>
  <c r="T217" i="8"/>
  <c r="S217" i="8"/>
  <c r="CO216" i="8"/>
  <c r="CN216" i="8"/>
  <c r="CM216" i="8"/>
  <c r="CL216" i="8"/>
  <c r="CF216" i="8"/>
  <c r="CA216" i="8"/>
  <c r="BP216" i="8"/>
  <c r="BN216" i="8"/>
  <c r="BI216" i="8"/>
  <c r="BH216" i="8"/>
  <c r="BF216" i="8"/>
  <c r="BC216" i="8"/>
  <c r="AV216" i="8"/>
  <c r="AU216" i="8"/>
  <c r="AS216" i="8"/>
  <c r="AN216" i="8"/>
  <c r="AM216" i="8"/>
  <c r="AK216" i="8"/>
  <c r="AH216" i="8"/>
  <c r="BE216" i="8" s="1"/>
  <c r="BJ216" i="8" s="1"/>
  <c r="BK216" i="8" s="1"/>
  <c r="BU216" i="8" s="1"/>
  <c r="AG216" i="8"/>
  <c r="AF216" i="8"/>
  <c r="AE216" i="8"/>
  <c r="AD216" i="8"/>
  <c r="AC216" i="8"/>
  <c r="AB216" i="8"/>
  <c r="AJ216" i="8" s="1"/>
  <c r="AO216" i="8" s="1"/>
  <c r="AP216" i="8" s="1"/>
  <c r="BA216" i="8" s="1"/>
  <c r="AA216" i="8"/>
  <c r="Z216" i="8"/>
  <c r="Y216" i="8"/>
  <c r="X216" i="8"/>
  <c r="W216" i="8"/>
  <c r="V216" i="8"/>
  <c r="U216" i="8"/>
  <c r="T216" i="8"/>
  <c r="S216" i="8"/>
  <c r="CO215" i="8"/>
  <c r="CN215" i="8"/>
  <c r="CM215" i="8"/>
  <c r="CL215" i="8"/>
  <c r="CF215" i="8"/>
  <c r="CA215" i="8"/>
  <c r="BP215" i="8"/>
  <c r="BN215" i="8"/>
  <c r="BI215" i="8"/>
  <c r="BH215" i="8"/>
  <c r="BF215" i="8"/>
  <c r="BC215" i="8"/>
  <c r="AV215" i="8"/>
  <c r="AU215" i="8"/>
  <c r="AS215" i="8"/>
  <c r="AN215" i="8"/>
  <c r="AM215" i="8"/>
  <c r="AK215" i="8"/>
  <c r="AH215" i="8"/>
  <c r="BE215" i="8" s="1"/>
  <c r="BJ215" i="8" s="1"/>
  <c r="BK215" i="8" s="1"/>
  <c r="AG215" i="8"/>
  <c r="AF215" i="8"/>
  <c r="AE215" i="8"/>
  <c r="AD215" i="8"/>
  <c r="AC215" i="8"/>
  <c r="AB215" i="8"/>
  <c r="AA215" i="8"/>
  <c r="Z215" i="8"/>
  <c r="Y215" i="8"/>
  <c r="X215" i="8"/>
  <c r="W215" i="8"/>
  <c r="V215" i="8"/>
  <c r="U215" i="8"/>
  <c r="T215" i="8"/>
  <c r="S215" i="8"/>
  <c r="CO214" i="8"/>
  <c r="CN214" i="8"/>
  <c r="CM214" i="8"/>
  <c r="CL214" i="8"/>
  <c r="CF214" i="8"/>
  <c r="CA214" i="8"/>
  <c r="BP214" i="8"/>
  <c r="BN214" i="8"/>
  <c r="BI214" i="8"/>
  <c r="BH214" i="8"/>
  <c r="BF214" i="8"/>
  <c r="BC214" i="8"/>
  <c r="AV214" i="8"/>
  <c r="AU214" i="8"/>
  <c r="AS214" i="8"/>
  <c r="AN214" i="8"/>
  <c r="AM214" i="8"/>
  <c r="AK214" i="8"/>
  <c r="AH214" i="8"/>
  <c r="BE214" i="8" s="1"/>
  <c r="BJ214" i="8" s="1"/>
  <c r="BK214" i="8" s="1"/>
  <c r="AG214" i="8"/>
  <c r="AF214" i="8"/>
  <c r="AE214" i="8"/>
  <c r="AD214" i="8"/>
  <c r="AC214" i="8"/>
  <c r="AB214" i="8"/>
  <c r="AA214" i="8"/>
  <c r="Z214" i="8"/>
  <c r="Y214" i="8"/>
  <c r="X214" i="8"/>
  <c r="W214" i="8"/>
  <c r="V214" i="8"/>
  <c r="U214" i="8"/>
  <c r="T214" i="8"/>
  <c r="S214" i="8"/>
  <c r="CO213" i="8"/>
  <c r="CN213" i="8"/>
  <c r="CM213" i="8"/>
  <c r="CL213" i="8"/>
  <c r="CF213" i="8"/>
  <c r="CA213" i="8"/>
  <c r="BP213" i="8"/>
  <c r="BN213" i="8"/>
  <c r="BI213" i="8"/>
  <c r="BH213" i="8"/>
  <c r="BF213" i="8"/>
  <c r="BC213" i="8"/>
  <c r="AV213" i="8"/>
  <c r="AU213" i="8"/>
  <c r="AS213" i="8"/>
  <c r="AN213" i="8"/>
  <c r="AM213" i="8"/>
  <c r="AK213" i="8"/>
  <c r="AH213" i="8"/>
  <c r="AG213" i="8"/>
  <c r="AF213" i="8"/>
  <c r="AE213" i="8"/>
  <c r="AD213" i="8"/>
  <c r="AC213" i="8"/>
  <c r="AB213" i="8"/>
  <c r="AA213" i="8"/>
  <c r="Z213" i="8"/>
  <c r="Y213" i="8"/>
  <c r="X213" i="8"/>
  <c r="W213" i="8"/>
  <c r="V213" i="8"/>
  <c r="U213" i="8"/>
  <c r="T213" i="8"/>
  <c r="S213" i="8"/>
  <c r="CO212" i="8"/>
  <c r="CN212" i="8"/>
  <c r="CM212" i="8"/>
  <c r="CL212" i="8"/>
  <c r="CF212" i="8"/>
  <c r="CA212" i="8"/>
  <c r="BP212" i="8"/>
  <c r="BN212" i="8"/>
  <c r="BI212" i="8"/>
  <c r="BH212" i="8"/>
  <c r="BF212" i="8"/>
  <c r="BC212" i="8"/>
  <c r="AV212" i="8"/>
  <c r="AU212" i="8"/>
  <c r="AS212" i="8"/>
  <c r="AN212" i="8"/>
  <c r="AM212" i="8"/>
  <c r="AK212" i="8"/>
  <c r="AH212" i="8"/>
  <c r="AG212" i="8"/>
  <c r="AF212" i="8"/>
  <c r="AE212" i="8"/>
  <c r="AD212" i="8"/>
  <c r="AC212" i="8"/>
  <c r="AB212" i="8"/>
  <c r="AJ212" i="8" s="1"/>
  <c r="AO212" i="8" s="1"/>
  <c r="AP212" i="8" s="1"/>
  <c r="BA212" i="8" s="1"/>
  <c r="AA212" i="8"/>
  <c r="Z212" i="8"/>
  <c r="Y212" i="8"/>
  <c r="X212" i="8"/>
  <c r="W212" i="8"/>
  <c r="V212" i="8"/>
  <c r="U212" i="8"/>
  <c r="T212" i="8"/>
  <c r="S212" i="8"/>
  <c r="CO211" i="8"/>
  <c r="CN211" i="8"/>
  <c r="CM211" i="8"/>
  <c r="CL211" i="8"/>
  <c r="CF211" i="8"/>
  <c r="CA211" i="8"/>
  <c r="BP211" i="8"/>
  <c r="BN211" i="8"/>
  <c r="BI211" i="8"/>
  <c r="BH211" i="8"/>
  <c r="BF211" i="8"/>
  <c r="BC211" i="8"/>
  <c r="AV211" i="8"/>
  <c r="AU211" i="8"/>
  <c r="AS211" i="8"/>
  <c r="AN211" i="8"/>
  <c r="AM211" i="8"/>
  <c r="AK211" i="8"/>
  <c r="AH211" i="8"/>
  <c r="AG211" i="8"/>
  <c r="AF211" i="8"/>
  <c r="AE211" i="8"/>
  <c r="AD211" i="8"/>
  <c r="AC211" i="8"/>
  <c r="AB211" i="8"/>
  <c r="AA211" i="8"/>
  <c r="Z211" i="8"/>
  <c r="Y211" i="8"/>
  <c r="X211" i="8"/>
  <c r="W211" i="8"/>
  <c r="V211" i="8"/>
  <c r="U211" i="8"/>
  <c r="T211" i="8"/>
  <c r="S211" i="8"/>
  <c r="CO210" i="8"/>
  <c r="CN210" i="8"/>
  <c r="CM210" i="8"/>
  <c r="CL210" i="8"/>
  <c r="CF210" i="8"/>
  <c r="CA210" i="8"/>
  <c r="BP210" i="8"/>
  <c r="BN210" i="8"/>
  <c r="BI210" i="8"/>
  <c r="BH210" i="8"/>
  <c r="BF210" i="8"/>
  <c r="BC210" i="8"/>
  <c r="AV210" i="8"/>
  <c r="AU210" i="8"/>
  <c r="AS210" i="8"/>
  <c r="AN210" i="8"/>
  <c r="AM210" i="8"/>
  <c r="AK210" i="8"/>
  <c r="AH210" i="8"/>
  <c r="BE210" i="8" s="1"/>
  <c r="BJ210" i="8" s="1"/>
  <c r="BK210" i="8" s="1"/>
  <c r="AG210" i="8"/>
  <c r="AF210" i="8"/>
  <c r="AE210" i="8"/>
  <c r="AD210" i="8"/>
  <c r="AC210" i="8"/>
  <c r="AB210" i="8"/>
  <c r="AA210" i="8"/>
  <c r="Z210" i="8"/>
  <c r="Y210" i="8"/>
  <c r="X210" i="8"/>
  <c r="W210" i="8"/>
  <c r="V210" i="8"/>
  <c r="U210" i="8"/>
  <c r="T210" i="8"/>
  <c r="S210" i="8"/>
  <c r="CO209" i="8"/>
  <c r="CN209" i="8"/>
  <c r="CM209" i="8"/>
  <c r="CL209" i="8"/>
  <c r="CF209" i="8"/>
  <c r="CA209" i="8"/>
  <c r="BP209" i="8"/>
  <c r="BN209" i="8"/>
  <c r="BI209" i="8"/>
  <c r="BH209" i="8"/>
  <c r="BF209" i="8"/>
  <c r="BC209" i="8"/>
  <c r="AV209" i="8"/>
  <c r="AU209" i="8"/>
  <c r="AS209" i="8"/>
  <c r="AN209" i="8"/>
  <c r="AM209" i="8"/>
  <c r="AK209" i="8"/>
  <c r="AH209" i="8"/>
  <c r="AG209" i="8"/>
  <c r="AF209" i="8"/>
  <c r="AE209" i="8"/>
  <c r="AD209" i="8"/>
  <c r="AC209" i="8"/>
  <c r="AB209" i="8"/>
  <c r="AA209" i="8"/>
  <c r="Z209" i="8"/>
  <c r="Y209" i="8"/>
  <c r="X209" i="8"/>
  <c r="W209" i="8"/>
  <c r="V209" i="8"/>
  <c r="U209" i="8"/>
  <c r="T209" i="8"/>
  <c r="S209" i="8"/>
  <c r="CO208" i="8"/>
  <c r="CN208" i="8"/>
  <c r="CM208" i="8"/>
  <c r="CL208" i="8"/>
  <c r="CF208" i="8"/>
  <c r="CA208" i="8"/>
  <c r="BP208" i="8"/>
  <c r="BN208" i="8"/>
  <c r="BI208" i="8"/>
  <c r="BH208" i="8"/>
  <c r="BF208" i="8"/>
  <c r="BC208" i="8"/>
  <c r="AV208" i="8"/>
  <c r="AU208" i="8"/>
  <c r="AS208" i="8"/>
  <c r="AN208" i="8"/>
  <c r="AM208" i="8"/>
  <c r="AK208" i="8"/>
  <c r="AH208" i="8"/>
  <c r="AG208" i="8"/>
  <c r="AF208" i="8"/>
  <c r="AE208" i="8"/>
  <c r="AD208" i="8"/>
  <c r="AC208" i="8"/>
  <c r="AB208" i="8"/>
  <c r="AT208" i="8" s="1"/>
  <c r="AW208" i="8" s="1"/>
  <c r="AX208" i="8" s="1"/>
  <c r="AA208" i="8"/>
  <c r="Z208" i="8"/>
  <c r="Y208" i="8"/>
  <c r="X208" i="8"/>
  <c r="W208" i="8"/>
  <c r="V208" i="8"/>
  <c r="U208" i="8"/>
  <c r="T208" i="8"/>
  <c r="S208" i="8"/>
  <c r="CO207" i="8"/>
  <c r="CN207" i="8"/>
  <c r="CM207" i="8"/>
  <c r="CL207" i="8"/>
  <c r="CF207" i="8"/>
  <c r="CA207" i="8"/>
  <c r="BP207" i="8"/>
  <c r="BN207" i="8"/>
  <c r="BI207" i="8"/>
  <c r="BH207" i="8"/>
  <c r="BF207" i="8"/>
  <c r="BC207" i="8"/>
  <c r="AV207" i="8"/>
  <c r="AU207" i="8"/>
  <c r="AS207" i="8"/>
  <c r="AN207" i="8"/>
  <c r="AM207" i="8"/>
  <c r="AK207" i="8"/>
  <c r="AH207" i="8"/>
  <c r="BE207" i="8" s="1"/>
  <c r="BJ207" i="8" s="1"/>
  <c r="BK207" i="8" s="1"/>
  <c r="AG207" i="8"/>
  <c r="AF207" i="8"/>
  <c r="AE207" i="8"/>
  <c r="AD207" i="8"/>
  <c r="AC207" i="8"/>
  <c r="AB207" i="8"/>
  <c r="AJ207" i="8" s="1"/>
  <c r="AO207" i="8" s="1"/>
  <c r="AP207" i="8" s="1"/>
  <c r="AA207" i="8"/>
  <c r="Z207" i="8"/>
  <c r="Y207" i="8"/>
  <c r="X207" i="8"/>
  <c r="W207" i="8"/>
  <c r="V207" i="8"/>
  <c r="U207" i="8"/>
  <c r="T207" i="8"/>
  <c r="S207" i="8"/>
  <c r="CO206" i="8"/>
  <c r="CN206" i="8"/>
  <c r="CM206" i="8"/>
  <c r="CL206" i="8"/>
  <c r="CF206" i="8"/>
  <c r="CA206" i="8"/>
  <c r="BP206" i="8"/>
  <c r="BN206" i="8"/>
  <c r="BI206" i="8"/>
  <c r="BH206" i="8"/>
  <c r="BF206" i="8"/>
  <c r="BC206" i="8"/>
  <c r="AV206" i="8"/>
  <c r="AU206" i="8"/>
  <c r="AS206" i="8"/>
  <c r="AN206" i="8"/>
  <c r="AM206" i="8"/>
  <c r="AK206" i="8"/>
  <c r="AH206" i="8"/>
  <c r="BE206" i="8" s="1"/>
  <c r="BJ206" i="8" s="1"/>
  <c r="BK206" i="8" s="1"/>
  <c r="BU206" i="8" s="1"/>
  <c r="AG206" i="8"/>
  <c r="AF206" i="8"/>
  <c r="AE206" i="8"/>
  <c r="AD206" i="8"/>
  <c r="AC206" i="8"/>
  <c r="AB206" i="8"/>
  <c r="AA206" i="8"/>
  <c r="Z206" i="8"/>
  <c r="Y206" i="8"/>
  <c r="X206" i="8"/>
  <c r="W206" i="8"/>
  <c r="V206" i="8"/>
  <c r="U206" i="8"/>
  <c r="T206" i="8"/>
  <c r="S206" i="8"/>
  <c r="CO205" i="8"/>
  <c r="CN205" i="8"/>
  <c r="CM205" i="8"/>
  <c r="CL205" i="8"/>
  <c r="CF205" i="8"/>
  <c r="CA205" i="8"/>
  <c r="BP205" i="8"/>
  <c r="BN205" i="8"/>
  <c r="BI205" i="8"/>
  <c r="BH205" i="8"/>
  <c r="BF205" i="8"/>
  <c r="BC205" i="8"/>
  <c r="AV205" i="8"/>
  <c r="AU205" i="8"/>
  <c r="AS205" i="8"/>
  <c r="AN205" i="8"/>
  <c r="AM205" i="8"/>
  <c r="AK205" i="8"/>
  <c r="AH205" i="8"/>
  <c r="BE205" i="8" s="1"/>
  <c r="BJ205" i="8" s="1"/>
  <c r="BK205" i="8" s="1"/>
  <c r="AG205" i="8"/>
  <c r="AF205" i="8"/>
  <c r="AE205" i="8"/>
  <c r="AD205" i="8"/>
  <c r="AC205" i="8"/>
  <c r="AB205" i="8"/>
  <c r="AA205" i="8"/>
  <c r="Z205" i="8"/>
  <c r="Y205" i="8"/>
  <c r="X205" i="8"/>
  <c r="W205" i="8"/>
  <c r="V205" i="8"/>
  <c r="U205" i="8"/>
  <c r="T205" i="8"/>
  <c r="S205" i="8"/>
  <c r="CO204" i="8"/>
  <c r="CN204" i="8"/>
  <c r="CM204" i="8"/>
  <c r="CL204" i="8"/>
  <c r="CF204" i="8"/>
  <c r="CA204" i="8"/>
  <c r="BP204" i="8"/>
  <c r="BN204" i="8"/>
  <c r="BI204" i="8"/>
  <c r="BH204" i="8"/>
  <c r="BF204" i="8"/>
  <c r="BC204" i="8"/>
  <c r="AV204" i="8"/>
  <c r="AU204" i="8"/>
  <c r="AS204" i="8"/>
  <c r="AN204" i="8"/>
  <c r="AM204" i="8"/>
  <c r="AK204" i="8"/>
  <c r="AH204" i="8"/>
  <c r="AG204" i="8"/>
  <c r="AF204" i="8"/>
  <c r="AE204" i="8"/>
  <c r="AD204" i="8"/>
  <c r="AC204" i="8"/>
  <c r="AB204" i="8"/>
  <c r="AA204" i="8"/>
  <c r="Z204" i="8"/>
  <c r="Y204" i="8"/>
  <c r="X204" i="8"/>
  <c r="W204" i="8"/>
  <c r="V204" i="8"/>
  <c r="U204" i="8"/>
  <c r="T204" i="8"/>
  <c r="S204" i="8"/>
  <c r="CO203" i="8"/>
  <c r="CN203" i="8"/>
  <c r="CM203" i="8"/>
  <c r="CL203" i="8"/>
  <c r="CF203" i="8"/>
  <c r="CA203" i="8"/>
  <c r="BP203" i="8"/>
  <c r="BN203" i="8"/>
  <c r="BJ203" i="8"/>
  <c r="BK203" i="8" s="1"/>
  <c r="BU203" i="8" s="1"/>
  <c r="BI203" i="8"/>
  <c r="BH203" i="8"/>
  <c r="BF203" i="8"/>
  <c r="BC203" i="8"/>
  <c r="AV203" i="8"/>
  <c r="AU203" i="8"/>
  <c r="AS203" i="8"/>
  <c r="AN203" i="8"/>
  <c r="AM203" i="8"/>
  <c r="AK203" i="8"/>
  <c r="AH203" i="8"/>
  <c r="BE203" i="8" s="1"/>
  <c r="AG203" i="8"/>
  <c r="AF203" i="8"/>
  <c r="AE203" i="8"/>
  <c r="AD203" i="8"/>
  <c r="AC203" i="8"/>
  <c r="AB203" i="8"/>
  <c r="AA203" i="8"/>
  <c r="Z203" i="8"/>
  <c r="Y203" i="8"/>
  <c r="X203" i="8"/>
  <c r="W203" i="8"/>
  <c r="V203" i="8"/>
  <c r="U203" i="8"/>
  <c r="T203" i="8"/>
  <c r="S203" i="8"/>
  <c r="CO202" i="8"/>
  <c r="CN202" i="8"/>
  <c r="CM202" i="8"/>
  <c r="CL202" i="8"/>
  <c r="CF202" i="8"/>
  <c r="CA202" i="8"/>
  <c r="BP202" i="8"/>
  <c r="BN202" i="8"/>
  <c r="BI202" i="8"/>
  <c r="BH202" i="8"/>
  <c r="BF202" i="8"/>
  <c r="BC202" i="8"/>
  <c r="AV202" i="8"/>
  <c r="AU202" i="8"/>
  <c r="AS202" i="8"/>
  <c r="AN202" i="8"/>
  <c r="AM202" i="8"/>
  <c r="AK202" i="8"/>
  <c r="AH202" i="8"/>
  <c r="AG202" i="8"/>
  <c r="AF202" i="8"/>
  <c r="AE202" i="8"/>
  <c r="AD202" i="8"/>
  <c r="AC202" i="8"/>
  <c r="AB202" i="8"/>
  <c r="AJ202" i="8" s="1"/>
  <c r="AO202" i="8" s="1"/>
  <c r="AP202" i="8" s="1"/>
  <c r="AA202" i="8"/>
  <c r="Z202" i="8"/>
  <c r="Y202" i="8"/>
  <c r="X202" i="8"/>
  <c r="W202" i="8"/>
  <c r="V202" i="8"/>
  <c r="U202" i="8"/>
  <c r="T202" i="8"/>
  <c r="S202" i="8"/>
  <c r="CO201" i="8"/>
  <c r="CN201" i="8"/>
  <c r="CM201" i="8"/>
  <c r="CL201" i="8"/>
  <c r="CF201" i="8"/>
  <c r="CA201" i="8"/>
  <c r="BP201" i="8"/>
  <c r="BN201" i="8"/>
  <c r="BI201" i="8"/>
  <c r="BH201" i="8"/>
  <c r="BF201" i="8"/>
  <c r="BC201" i="8"/>
  <c r="AV201" i="8"/>
  <c r="AU201" i="8"/>
  <c r="AS201" i="8"/>
  <c r="AN201" i="8"/>
  <c r="AM201" i="8"/>
  <c r="AK201" i="8"/>
  <c r="AH201" i="8"/>
  <c r="BG201" i="8" s="1"/>
  <c r="BL201" i="8" s="1"/>
  <c r="AG201" i="8"/>
  <c r="AF201" i="8"/>
  <c r="AE201" i="8"/>
  <c r="AD201" i="8"/>
  <c r="AC201" i="8"/>
  <c r="AB201" i="8"/>
  <c r="AT201" i="8" s="1"/>
  <c r="AW201" i="8" s="1"/>
  <c r="AX201" i="8" s="1"/>
  <c r="AA201" i="8"/>
  <c r="Z201" i="8"/>
  <c r="Y201" i="8"/>
  <c r="X201" i="8"/>
  <c r="W201" i="8"/>
  <c r="V201" i="8"/>
  <c r="U201" i="8"/>
  <c r="T201" i="8"/>
  <c r="S201" i="8"/>
  <c r="CO200" i="8"/>
  <c r="CN200" i="8"/>
  <c r="CM200" i="8"/>
  <c r="CL200" i="8"/>
  <c r="CF200" i="8"/>
  <c r="CA200" i="8"/>
  <c r="BP200" i="8"/>
  <c r="BN200" i="8"/>
  <c r="BI200" i="8"/>
  <c r="BH200" i="8"/>
  <c r="BF200" i="8"/>
  <c r="BC200" i="8"/>
  <c r="AV200" i="8"/>
  <c r="AU200" i="8"/>
  <c r="AS200" i="8"/>
  <c r="AN200" i="8"/>
  <c r="AM200" i="8"/>
  <c r="AK200" i="8"/>
  <c r="AH200" i="8"/>
  <c r="BO200" i="8" s="1"/>
  <c r="BQ200" i="8" s="1"/>
  <c r="BR200" i="8" s="1"/>
  <c r="AG200" i="8"/>
  <c r="AF200" i="8"/>
  <c r="AE200" i="8"/>
  <c r="AD200" i="8"/>
  <c r="AC200" i="8"/>
  <c r="AB200" i="8"/>
  <c r="AA200" i="8"/>
  <c r="Z200" i="8"/>
  <c r="Y200" i="8"/>
  <c r="X200" i="8"/>
  <c r="W200" i="8"/>
  <c r="V200" i="8"/>
  <c r="U200" i="8"/>
  <c r="T200" i="8"/>
  <c r="S200" i="8"/>
  <c r="CO199" i="8"/>
  <c r="CN199" i="8"/>
  <c r="CM199" i="8"/>
  <c r="CL199" i="8"/>
  <c r="CF199" i="8"/>
  <c r="CA199" i="8"/>
  <c r="BP199" i="8"/>
  <c r="BN199" i="8"/>
  <c r="BI199" i="8"/>
  <c r="BH199" i="8"/>
  <c r="BF199" i="8"/>
  <c r="BC199" i="8"/>
  <c r="AV199" i="8"/>
  <c r="AU199" i="8"/>
  <c r="AS199" i="8"/>
  <c r="AN199" i="8"/>
  <c r="AM199" i="8"/>
  <c r="AK199" i="8"/>
  <c r="AH199" i="8"/>
  <c r="AG199" i="8"/>
  <c r="AF199" i="8"/>
  <c r="AE199" i="8"/>
  <c r="AD199" i="8"/>
  <c r="AC199" i="8"/>
  <c r="AB199" i="8"/>
  <c r="AJ199" i="8" s="1"/>
  <c r="AO199" i="8" s="1"/>
  <c r="AP199" i="8" s="1"/>
  <c r="AA199" i="8"/>
  <c r="Z199" i="8"/>
  <c r="Y199" i="8"/>
  <c r="X199" i="8"/>
  <c r="W199" i="8"/>
  <c r="V199" i="8"/>
  <c r="U199" i="8"/>
  <c r="T199" i="8"/>
  <c r="S199" i="8"/>
  <c r="CO198" i="8"/>
  <c r="CN198" i="8"/>
  <c r="CM198" i="8"/>
  <c r="CL198" i="8"/>
  <c r="CF198" i="8"/>
  <c r="CA198" i="8"/>
  <c r="BP198" i="8"/>
  <c r="BN198" i="8"/>
  <c r="BI198" i="8"/>
  <c r="BH198" i="8"/>
  <c r="BF198" i="8"/>
  <c r="BC198" i="8"/>
  <c r="AV198" i="8"/>
  <c r="AU198" i="8"/>
  <c r="AS198" i="8"/>
  <c r="AN198" i="8"/>
  <c r="AM198" i="8"/>
  <c r="AK198" i="8"/>
  <c r="AH198" i="8"/>
  <c r="BO198" i="8" s="1"/>
  <c r="BQ198" i="8" s="1"/>
  <c r="BR198" i="8" s="1"/>
  <c r="AG198" i="8"/>
  <c r="AF198" i="8"/>
  <c r="AE198" i="8"/>
  <c r="AD198" i="8"/>
  <c r="AC198" i="8"/>
  <c r="AB198" i="8"/>
  <c r="AL198" i="8" s="1"/>
  <c r="AQ198" i="8" s="1"/>
  <c r="AA198" i="8"/>
  <c r="Z198" i="8"/>
  <c r="Y198" i="8"/>
  <c r="X198" i="8"/>
  <c r="W198" i="8"/>
  <c r="V198" i="8"/>
  <c r="U198" i="8"/>
  <c r="T198" i="8"/>
  <c r="S198" i="8"/>
  <c r="CO197" i="8"/>
  <c r="CN197" i="8"/>
  <c r="CM197" i="8"/>
  <c r="CL197" i="8"/>
  <c r="CF197" i="8"/>
  <c r="CA197" i="8"/>
  <c r="BP197" i="8"/>
  <c r="BN197" i="8"/>
  <c r="BI197" i="8"/>
  <c r="BH197" i="8"/>
  <c r="BF197" i="8"/>
  <c r="BC197" i="8"/>
  <c r="AV197" i="8"/>
  <c r="AU197" i="8"/>
  <c r="AS197" i="8"/>
  <c r="AN197" i="8"/>
  <c r="AM197" i="8"/>
  <c r="AK197" i="8"/>
  <c r="AH197" i="8"/>
  <c r="BG197" i="8" s="1"/>
  <c r="BL197" i="8" s="1"/>
  <c r="AG197" i="8"/>
  <c r="AF197" i="8"/>
  <c r="AE197" i="8"/>
  <c r="AD197" i="8"/>
  <c r="AC197" i="8"/>
  <c r="AB197" i="8"/>
  <c r="AJ197" i="8" s="1"/>
  <c r="AO197" i="8" s="1"/>
  <c r="AP197" i="8" s="1"/>
  <c r="BB197" i="8" s="1"/>
  <c r="AA197" i="8"/>
  <c r="Z197" i="8"/>
  <c r="Y197" i="8"/>
  <c r="X197" i="8"/>
  <c r="W197" i="8"/>
  <c r="V197" i="8"/>
  <c r="U197" i="8"/>
  <c r="T197" i="8"/>
  <c r="S197" i="8"/>
  <c r="CO196" i="8"/>
  <c r="CN196" i="8"/>
  <c r="CM196" i="8"/>
  <c r="CL196" i="8"/>
  <c r="CF196" i="8"/>
  <c r="CA196" i="8"/>
  <c r="BP196" i="8"/>
  <c r="BN196" i="8"/>
  <c r="BI196" i="8"/>
  <c r="BH196" i="8"/>
  <c r="BF196" i="8"/>
  <c r="BC196" i="8"/>
  <c r="AV196" i="8"/>
  <c r="AU196" i="8"/>
  <c r="AS196" i="8"/>
  <c r="AN196" i="8"/>
  <c r="AM196" i="8"/>
  <c r="AK196" i="8"/>
  <c r="AH196" i="8"/>
  <c r="BG196" i="8" s="1"/>
  <c r="BL196" i="8" s="1"/>
  <c r="AG196" i="8"/>
  <c r="AF196" i="8"/>
  <c r="AE196" i="8"/>
  <c r="AD196" i="8"/>
  <c r="AC196" i="8"/>
  <c r="AB196" i="8"/>
  <c r="AA196" i="8"/>
  <c r="Z196" i="8"/>
  <c r="Y196" i="8"/>
  <c r="X196" i="8"/>
  <c r="W196" i="8"/>
  <c r="V196" i="8"/>
  <c r="U196" i="8"/>
  <c r="T196" i="8"/>
  <c r="S196" i="8"/>
  <c r="CN195" i="8"/>
  <c r="CO195" i="8" s="1"/>
  <c r="CL195" i="8"/>
  <c r="BP195" i="8"/>
  <c r="BN195" i="8"/>
  <c r="BI195" i="8"/>
  <c r="BH195" i="8"/>
  <c r="BF195" i="8"/>
  <c r="AU195" i="8"/>
  <c r="AS195" i="8"/>
  <c r="AN195" i="8"/>
  <c r="AM195" i="8"/>
  <c r="AK195" i="8"/>
  <c r="AG195" i="8"/>
  <c r="AF195" i="8"/>
  <c r="AE195" i="8"/>
  <c r="AD195" i="8"/>
  <c r="AC195" i="8"/>
  <c r="AA195" i="8"/>
  <c r="Z195" i="8"/>
  <c r="Y195" i="8"/>
  <c r="X195" i="8"/>
  <c r="W195" i="8"/>
  <c r="V195" i="8"/>
  <c r="U195" i="8"/>
  <c r="AV195" i="8" s="1"/>
  <c r="T195" i="8"/>
  <c r="S195" i="8"/>
  <c r="CN194" i="8"/>
  <c r="CL194" i="8"/>
  <c r="BP194" i="8"/>
  <c r="BN194" i="8"/>
  <c r="BI194" i="8"/>
  <c r="BH194" i="8"/>
  <c r="BF194" i="8"/>
  <c r="AU194" i="8"/>
  <c r="AS194" i="8"/>
  <c r="AN194" i="8"/>
  <c r="AM194" i="8"/>
  <c r="AK194" i="8"/>
  <c r="AG194" i="8"/>
  <c r="AF194" i="8"/>
  <c r="AE194" i="8"/>
  <c r="AD194" i="8"/>
  <c r="AC194" i="8"/>
  <c r="AA194" i="8"/>
  <c r="Z194" i="8"/>
  <c r="Y194" i="8"/>
  <c r="X194" i="8"/>
  <c r="W194" i="8"/>
  <c r="V194" i="8"/>
  <c r="U194" i="8"/>
  <c r="AV194" i="8" s="1"/>
  <c r="T194" i="8"/>
  <c r="S194" i="8"/>
  <c r="CN193" i="8"/>
  <c r="CO193" i="8" s="1"/>
  <c r="CL193" i="8"/>
  <c r="CM193" i="8" s="1"/>
  <c r="BP193" i="8"/>
  <c r="BN193" i="8"/>
  <c r="BI193" i="8"/>
  <c r="BH193" i="8"/>
  <c r="BF193" i="8"/>
  <c r="AV193" i="8"/>
  <c r="AU193" i="8"/>
  <c r="AS193" i="8"/>
  <c r="AN193" i="8"/>
  <c r="AM193" i="8"/>
  <c r="AK193" i="8"/>
  <c r="AG193" i="8"/>
  <c r="AF193" i="8"/>
  <c r="AE193" i="8"/>
  <c r="AD193" i="8"/>
  <c r="AC193" i="8"/>
  <c r="AA193" i="8"/>
  <c r="Z193" i="8"/>
  <c r="Y193" i="8"/>
  <c r="X193" i="8"/>
  <c r="W193" i="8"/>
  <c r="V193" i="8"/>
  <c r="U193" i="8"/>
  <c r="T193" i="8"/>
  <c r="S193" i="8"/>
  <c r="CO187" i="8"/>
  <c r="CN187" i="8"/>
  <c r="CM187" i="8"/>
  <c r="CL187" i="8"/>
  <c r="CF187" i="8"/>
  <c r="CA187" i="8"/>
  <c r="BP187" i="8"/>
  <c r="BN187" i="8"/>
  <c r="BI187" i="8"/>
  <c r="BH187" i="8"/>
  <c r="BF187" i="8"/>
  <c r="BC187" i="8"/>
  <c r="AV187" i="8"/>
  <c r="AU187" i="8"/>
  <c r="AS187" i="8"/>
  <c r="AN187" i="8"/>
  <c r="AM187" i="8"/>
  <c r="AK187" i="8"/>
  <c r="AH187" i="8"/>
  <c r="BG187" i="8" s="1"/>
  <c r="BL187" i="8" s="1"/>
  <c r="AG187" i="8"/>
  <c r="AF187" i="8"/>
  <c r="AE187" i="8"/>
  <c r="AD187" i="8"/>
  <c r="AC187" i="8"/>
  <c r="AB187" i="8"/>
  <c r="AA187" i="8"/>
  <c r="Z187" i="8"/>
  <c r="Y187" i="8"/>
  <c r="X187" i="8"/>
  <c r="W187" i="8"/>
  <c r="V187" i="8"/>
  <c r="U187" i="8"/>
  <c r="T187" i="8"/>
  <c r="S187" i="8"/>
  <c r="CO186" i="8"/>
  <c r="CN186" i="8"/>
  <c r="CM186" i="8"/>
  <c r="CL186" i="8"/>
  <c r="CF186" i="8"/>
  <c r="CA186" i="8"/>
  <c r="BP186" i="8"/>
  <c r="BN186" i="8"/>
  <c r="BI186" i="8"/>
  <c r="BH186" i="8"/>
  <c r="BF186" i="8"/>
  <c r="BC186" i="8"/>
  <c r="AV186" i="8"/>
  <c r="AU186" i="8"/>
  <c r="AS186" i="8"/>
  <c r="AN186" i="8"/>
  <c r="AM186" i="8"/>
  <c r="AK186" i="8"/>
  <c r="AH186" i="8"/>
  <c r="BE186" i="8" s="1"/>
  <c r="BJ186" i="8" s="1"/>
  <c r="BK186" i="8" s="1"/>
  <c r="BU186" i="8" s="1"/>
  <c r="AG186" i="8"/>
  <c r="AF186" i="8"/>
  <c r="AE186" i="8"/>
  <c r="AD186" i="8"/>
  <c r="AC186" i="8"/>
  <c r="AB186" i="8"/>
  <c r="AA186" i="8"/>
  <c r="Z186" i="8"/>
  <c r="Y186" i="8"/>
  <c r="X186" i="8"/>
  <c r="W186" i="8"/>
  <c r="V186" i="8"/>
  <c r="U186" i="8"/>
  <c r="T186" i="8"/>
  <c r="S186" i="8"/>
  <c r="CO185" i="8"/>
  <c r="CN185" i="8"/>
  <c r="CM185" i="8"/>
  <c r="CL185" i="8"/>
  <c r="CF185" i="8"/>
  <c r="CA185" i="8"/>
  <c r="BP185" i="8"/>
  <c r="BN185" i="8"/>
  <c r="BI185" i="8"/>
  <c r="BH185" i="8"/>
  <c r="BF185" i="8"/>
  <c r="BC185" i="8"/>
  <c r="AV185" i="8"/>
  <c r="AU185" i="8"/>
  <c r="AS185" i="8"/>
  <c r="AN185" i="8"/>
  <c r="AM185" i="8"/>
  <c r="AK185" i="8"/>
  <c r="AH185" i="8"/>
  <c r="BG185" i="8" s="1"/>
  <c r="BL185" i="8" s="1"/>
  <c r="AG185" i="8"/>
  <c r="AF185" i="8"/>
  <c r="AE185" i="8"/>
  <c r="AD185" i="8"/>
  <c r="AC185" i="8"/>
  <c r="AB185" i="8"/>
  <c r="AT185" i="8" s="1"/>
  <c r="AW185" i="8" s="1"/>
  <c r="AX185" i="8" s="1"/>
  <c r="AA185" i="8"/>
  <c r="Z185" i="8"/>
  <c r="Y185" i="8"/>
  <c r="X185" i="8"/>
  <c r="W185" i="8"/>
  <c r="V185" i="8"/>
  <c r="U185" i="8"/>
  <c r="T185" i="8"/>
  <c r="S185" i="8"/>
  <c r="CO184" i="8"/>
  <c r="CN184" i="8"/>
  <c r="CM184" i="8"/>
  <c r="CL184" i="8"/>
  <c r="CF184" i="8"/>
  <c r="CA184" i="8"/>
  <c r="BP184" i="8"/>
  <c r="BN184" i="8"/>
  <c r="BI184" i="8"/>
  <c r="BH184" i="8"/>
  <c r="BF184" i="8"/>
  <c r="BC184" i="8"/>
  <c r="AV184" i="8"/>
  <c r="AU184" i="8"/>
  <c r="AS184" i="8"/>
  <c r="AN184" i="8"/>
  <c r="AM184" i="8"/>
  <c r="AK184" i="8"/>
  <c r="AH184" i="8"/>
  <c r="BE184" i="8" s="1"/>
  <c r="BJ184" i="8" s="1"/>
  <c r="BK184" i="8" s="1"/>
  <c r="AG184" i="8"/>
  <c r="AF184" i="8"/>
  <c r="AE184" i="8"/>
  <c r="AD184" i="8"/>
  <c r="AC184" i="8"/>
  <c r="AB184" i="8"/>
  <c r="AT184" i="8" s="1"/>
  <c r="AW184" i="8" s="1"/>
  <c r="AX184" i="8" s="1"/>
  <c r="AA184" i="8"/>
  <c r="Z184" i="8"/>
  <c r="Y184" i="8"/>
  <c r="X184" i="8"/>
  <c r="W184" i="8"/>
  <c r="V184" i="8"/>
  <c r="U184" i="8"/>
  <c r="T184" i="8"/>
  <c r="S184" i="8"/>
  <c r="CO183" i="8"/>
  <c r="CN183" i="8"/>
  <c r="CM183" i="8"/>
  <c r="CL183" i="8"/>
  <c r="CF183" i="8"/>
  <c r="CA183" i="8"/>
  <c r="BP183" i="8"/>
  <c r="BN183" i="8"/>
  <c r="BI183" i="8"/>
  <c r="BH183" i="8"/>
  <c r="BF183" i="8"/>
  <c r="BC183" i="8"/>
  <c r="AV183" i="8"/>
  <c r="AU183" i="8"/>
  <c r="AS183" i="8"/>
  <c r="AN183" i="8"/>
  <c r="AM183" i="8"/>
  <c r="AK183" i="8"/>
  <c r="AH183" i="8"/>
  <c r="BG183" i="8" s="1"/>
  <c r="BL183" i="8" s="1"/>
  <c r="AG183" i="8"/>
  <c r="AF183" i="8"/>
  <c r="AE183" i="8"/>
  <c r="AD183" i="8"/>
  <c r="AC183" i="8"/>
  <c r="AB183" i="8"/>
  <c r="AA183" i="8"/>
  <c r="Z183" i="8"/>
  <c r="Y183" i="8"/>
  <c r="X183" i="8"/>
  <c r="W183" i="8"/>
  <c r="V183" i="8"/>
  <c r="U183" i="8"/>
  <c r="T183" i="8"/>
  <c r="S183" i="8"/>
  <c r="CO182" i="8"/>
  <c r="CN182" i="8"/>
  <c r="CM182" i="8"/>
  <c r="CL182" i="8"/>
  <c r="CF182" i="8"/>
  <c r="CA182" i="8"/>
  <c r="BP182" i="8"/>
  <c r="BN182" i="8"/>
  <c r="BI182" i="8"/>
  <c r="BH182" i="8"/>
  <c r="BF182" i="8"/>
  <c r="BC182" i="8"/>
  <c r="AV182" i="8"/>
  <c r="AU182" i="8"/>
  <c r="AS182" i="8"/>
  <c r="AN182" i="8"/>
  <c r="AM182" i="8"/>
  <c r="AK182" i="8"/>
  <c r="AH182" i="8"/>
  <c r="BE182" i="8" s="1"/>
  <c r="BJ182" i="8" s="1"/>
  <c r="BK182" i="8" s="1"/>
  <c r="AG182" i="8"/>
  <c r="AF182" i="8"/>
  <c r="AE182" i="8"/>
  <c r="AD182" i="8"/>
  <c r="AC182" i="8"/>
  <c r="AB182" i="8"/>
  <c r="AA182" i="8"/>
  <c r="Z182" i="8"/>
  <c r="Y182" i="8"/>
  <c r="X182" i="8"/>
  <c r="W182" i="8"/>
  <c r="V182" i="8"/>
  <c r="U182" i="8"/>
  <c r="T182" i="8"/>
  <c r="S182" i="8"/>
  <c r="CO181" i="8"/>
  <c r="CN181" i="8"/>
  <c r="CM181" i="8"/>
  <c r="CL181" i="8"/>
  <c r="CF181" i="8"/>
  <c r="CA181" i="8"/>
  <c r="BP181" i="8"/>
  <c r="BN181" i="8"/>
  <c r="BI181" i="8"/>
  <c r="BH181" i="8"/>
  <c r="BF181" i="8"/>
  <c r="BC181" i="8"/>
  <c r="AV181" i="8"/>
  <c r="AU181" i="8"/>
  <c r="AS181" i="8"/>
  <c r="AN181" i="8"/>
  <c r="AM181" i="8"/>
  <c r="AK181" i="8"/>
  <c r="AH181" i="8"/>
  <c r="AG181" i="8"/>
  <c r="AF181" i="8"/>
  <c r="AE181" i="8"/>
  <c r="AD181" i="8"/>
  <c r="AC181" i="8"/>
  <c r="AB181" i="8"/>
  <c r="AA181" i="8"/>
  <c r="Z181" i="8"/>
  <c r="Y181" i="8"/>
  <c r="X181" i="8"/>
  <c r="W181" i="8"/>
  <c r="V181" i="8"/>
  <c r="U181" i="8"/>
  <c r="T181" i="8"/>
  <c r="S181" i="8"/>
  <c r="CO180" i="8"/>
  <c r="CN180" i="8"/>
  <c r="CM180" i="8"/>
  <c r="CL180" i="8"/>
  <c r="CF180" i="8"/>
  <c r="CA180" i="8"/>
  <c r="BP180" i="8"/>
  <c r="BN180" i="8"/>
  <c r="BI180" i="8"/>
  <c r="BH180" i="8"/>
  <c r="BF180" i="8"/>
  <c r="BC180" i="8"/>
  <c r="AV180" i="8"/>
  <c r="AU180" i="8"/>
  <c r="AS180" i="8"/>
  <c r="AN180" i="8"/>
  <c r="AM180" i="8"/>
  <c r="AK180" i="8"/>
  <c r="AH180" i="8"/>
  <c r="BE180" i="8" s="1"/>
  <c r="BJ180" i="8" s="1"/>
  <c r="BK180" i="8" s="1"/>
  <c r="AG180" i="8"/>
  <c r="AF180" i="8"/>
  <c r="AE180" i="8"/>
  <c r="AD180" i="8"/>
  <c r="AC180" i="8"/>
  <c r="AB180" i="8"/>
  <c r="AJ180" i="8" s="1"/>
  <c r="AO180" i="8" s="1"/>
  <c r="AP180" i="8" s="1"/>
  <c r="AA180" i="8"/>
  <c r="Z180" i="8"/>
  <c r="Y180" i="8"/>
  <c r="X180" i="8"/>
  <c r="W180" i="8"/>
  <c r="V180" i="8"/>
  <c r="U180" i="8"/>
  <c r="T180" i="8"/>
  <c r="S180" i="8"/>
  <c r="CO179" i="8"/>
  <c r="CN179" i="8"/>
  <c r="CM179" i="8"/>
  <c r="CL179" i="8"/>
  <c r="CF179" i="8"/>
  <c r="CA179" i="8"/>
  <c r="BP179" i="8"/>
  <c r="BN179" i="8"/>
  <c r="BI179" i="8"/>
  <c r="BH179" i="8"/>
  <c r="BF179" i="8"/>
  <c r="BC179" i="8"/>
  <c r="AV179" i="8"/>
  <c r="AU179" i="8"/>
  <c r="AS179" i="8"/>
  <c r="AN179" i="8"/>
  <c r="AM179" i="8"/>
  <c r="AK179" i="8"/>
  <c r="AH179" i="8"/>
  <c r="BG179" i="8" s="1"/>
  <c r="BL179" i="8" s="1"/>
  <c r="AG179" i="8"/>
  <c r="AF179" i="8"/>
  <c r="AE179" i="8"/>
  <c r="AD179" i="8"/>
  <c r="AC179" i="8"/>
  <c r="AB179" i="8"/>
  <c r="AJ179" i="8" s="1"/>
  <c r="AO179" i="8" s="1"/>
  <c r="AP179" i="8" s="1"/>
  <c r="AA179" i="8"/>
  <c r="Z179" i="8"/>
  <c r="Y179" i="8"/>
  <c r="X179" i="8"/>
  <c r="W179" i="8"/>
  <c r="V179" i="8"/>
  <c r="U179" i="8"/>
  <c r="T179" i="8"/>
  <c r="S179" i="8"/>
  <c r="CO178" i="8"/>
  <c r="CN178" i="8"/>
  <c r="CM178" i="8"/>
  <c r="CL178" i="8"/>
  <c r="CF178" i="8"/>
  <c r="CA178" i="8"/>
  <c r="BP178" i="8"/>
  <c r="BN178" i="8"/>
  <c r="BI178" i="8"/>
  <c r="BH178" i="8"/>
  <c r="BF178" i="8"/>
  <c r="BC178" i="8"/>
  <c r="AV178" i="8"/>
  <c r="AU178" i="8"/>
  <c r="AS178" i="8"/>
  <c r="AN178" i="8"/>
  <c r="AM178" i="8"/>
  <c r="AK178" i="8"/>
  <c r="AH178" i="8"/>
  <c r="AG178" i="8"/>
  <c r="AF178" i="8"/>
  <c r="AE178" i="8"/>
  <c r="AD178" i="8"/>
  <c r="AC178" i="8"/>
  <c r="AB178" i="8"/>
  <c r="AA178" i="8"/>
  <c r="Z178" i="8"/>
  <c r="Y178" i="8"/>
  <c r="X178" i="8"/>
  <c r="W178" i="8"/>
  <c r="V178" i="8"/>
  <c r="U178" i="8"/>
  <c r="T178" i="8"/>
  <c r="S178" i="8"/>
  <c r="CO177" i="8"/>
  <c r="CN177" i="8"/>
  <c r="CM177" i="8"/>
  <c r="CL177" i="8"/>
  <c r="CF177" i="8"/>
  <c r="CA177" i="8"/>
  <c r="BP177" i="8"/>
  <c r="BN177" i="8"/>
  <c r="BI177" i="8"/>
  <c r="BH177" i="8"/>
  <c r="BF177" i="8"/>
  <c r="BC177" i="8"/>
  <c r="AV177" i="8"/>
  <c r="AU177" i="8"/>
  <c r="AS177" i="8"/>
  <c r="AN177" i="8"/>
  <c r="AM177" i="8"/>
  <c r="AK177" i="8"/>
  <c r="AH177" i="8"/>
  <c r="AG177" i="8"/>
  <c r="AF177" i="8"/>
  <c r="AE177" i="8"/>
  <c r="AD177" i="8"/>
  <c r="AC177" i="8"/>
  <c r="AB177" i="8"/>
  <c r="AJ177" i="8" s="1"/>
  <c r="AO177" i="8" s="1"/>
  <c r="AP177" i="8" s="1"/>
  <c r="AA177" i="8"/>
  <c r="Z177" i="8"/>
  <c r="Y177" i="8"/>
  <c r="X177" i="8"/>
  <c r="W177" i="8"/>
  <c r="V177" i="8"/>
  <c r="U177" i="8"/>
  <c r="T177" i="8"/>
  <c r="S177" i="8"/>
  <c r="CO176" i="8"/>
  <c r="CN176" i="8"/>
  <c r="CM176" i="8"/>
  <c r="CL176" i="8"/>
  <c r="CF176" i="8"/>
  <c r="CA176" i="8"/>
  <c r="BP176" i="8"/>
  <c r="BN176" i="8"/>
  <c r="BI176" i="8"/>
  <c r="BH176" i="8"/>
  <c r="BF176" i="8"/>
  <c r="BC176" i="8"/>
  <c r="AV176" i="8"/>
  <c r="AU176" i="8"/>
  <c r="AS176" i="8"/>
  <c r="AN176" i="8"/>
  <c r="AM176" i="8"/>
  <c r="AK176" i="8"/>
  <c r="AJ176" i="8"/>
  <c r="AO176" i="8" s="1"/>
  <c r="AP176" i="8" s="1"/>
  <c r="BY176" i="8" s="1"/>
  <c r="AH176" i="8"/>
  <c r="AG176" i="8"/>
  <c r="AF176" i="8"/>
  <c r="AE176" i="8"/>
  <c r="AD176" i="8"/>
  <c r="AC176" i="8"/>
  <c r="AB176" i="8"/>
  <c r="AT176" i="8" s="1"/>
  <c r="AW176" i="8" s="1"/>
  <c r="AX176" i="8" s="1"/>
  <c r="AA176" i="8"/>
  <c r="Z176" i="8"/>
  <c r="Y176" i="8"/>
  <c r="X176" i="8"/>
  <c r="W176" i="8"/>
  <c r="V176" i="8"/>
  <c r="U176" i="8"/>
  <c r="T176" i="8"/>
  <c r="S176" i="8"/>
  <c r="CO175" i="8"/>
  <c r="CN175" i="8"/>
  <c r="CM175" i="8"/>
  <c r="CL175" i="8"/>
  <c r="CF175" i="8"/>
  <c r="CA175" i="8"/>
  <c r="BP175" i="8"/>
  <c r="BN175" i="8"/>
  <c r="BI175" i="8"/>
  <c r="BH175" i="8"/>
  <c r="BF175" i="8"/>
  <c r="BC175" i="8"/>
  <c r="AV175" i="8"/>
  <c r="AU175" i="8"/>
  <c r="AS175" i="8"/>
  <c r="AN175" i="8"/>
  <c r="AM175" i="8"/>
  <c r="AK175" i="8"/>
  <c r="AH175" i="8"/>
  <c r="BE175" i="8" s="1"/>
  <c r="BJ175" i="8" s="1"/>
  <c r="BK175" i="8" s="1"/>
  <c r="AG175" i="8"/>
  <c r="AF175" i="8"/>
  <c r="AE175" i="8"/>
  <c r="AD175" i="8"/>
  <c r="AC175" i="8"/>
  <c r="AB175" i="8"/>
  <c r="AA175" i="8"/>
  <c r="Z175" i="8"/>
  <c r="Y175" i="8"/>
  <c r="X175" i="8"/>
  <c r="W175" i="8"/>
  <c r="V175" i="8"/>
  <c r="U175" i="8"/>
  <c r="T175" i="8"/>
  <c r="S175" i="8"/>
  <c r="CO174" i="8"/>
  <c r="CN174" i="8"/>
  <c r="CM174" i="8"/>
  <c r="CL174" i="8"/>
  <c r="CF174" i="8"/>
  <c r="CA174" i="8"/>
  <c r="BP174" i="8"/>
  <c r="BN174" i="8"/>
  <c r="BI174" i="8"/>
  <c r="BH174" i="8"/>
  <c r="BF174" i="8"/>
  <c r="BC174" i="8"/>
  <c r="AV174" i="8"/>
  <c r="AU174" i="8"/>
  <c r="AS174" i="8"/>
  <c r="AN174" i="8"/>
  <c r="AM174" i="8"/>
  <c r="AK174" i="8"/>
  <c r="AH174" i="8"/>
  <c r="BE174" i="8" s="1"/>
  <c r="BJ174" i="8" s="1"/>
  <c r="BK174" i="8" s="1"/>
  <c r="AG174" i="8"/>
  <c r="AF174" i="8"/>
  <c r="AE174" i="8"/>
  <c r="AD174" i="8"/>
  <c r="AC174" i="8"/>
  <c r="AB174" i="8"/>
  <c r="AT174" i="8" s="1"/>
  <c r="AW174" i="8" s="1"/>
  <c r="AX174" i="8" s="1"/>
  <c r="AA174" i="8"/>
  <c r="Z174" i="8"/>
  <c r="Y174" i="8"/>
  <c r="X174" i="8"/>
  <c r="W174" i="8"/>
  <c r="V174" i="8"/>
  <c r="U174" i="8"/>
  <c r="T174" i="8"/>
  <c r="S174" i="8"/>
  <c r="CO173" i="8"/>
  <c r="CN173" i="8"/>
  <c r="CM173" i="8"/>
  <c r="CL173" i="8"/>
  <c r="CF173" i="8"/>
  <c r="CA173" i="8"/>
  <c r="BP173" i="8"/>
  <c r="BN173" i="8"/>
  <c r="BI173" i="8"/>
  <c r="BH173" i="8"/>
  <c r="BF173" i="8"/>
  <c r="BC173" i="8"/>
  <c r="AV173" i="8"/>
  <c r="AU173" i="8"/>
  <c r="AS173" i="8"/>
  <c r="AN173" i="8"/>
  <c r="AM173" i="8"/>
  <c r="AK173" i="8"/>
  <c r="AH173" i="8"/>
  <c r="BE173" i="8" s="1"/>
  <c r="BJ173" i="8" s="1"/>
  <c r="BK173" i="8" s="1"/>
  <c r="AG173" i="8"/>
  <c r="AF173" i="8"/>
  <c r="AE173" i="8"/>
  <c r="AD173" i="8"/>
  <c r="AC173" i="8"/>
  <c r="AB173" i="8"/>
  <c r="AJ173" i="8" s="1"/>
  <c r="AO173" i="8" s="1"/>
  <c r="AP173" i="8" s="1"/>
  <c r="BA173" i="8" s="1"/>
  <c r="AA173" i="8"/>
  <c r="Z173" i="8"/>
  <c r="Y173" i="8"/>
  <c r="X173" i="8"/>
  <c r="W173" i="8"/>
  <c r="V173" i="8"/>
  <c r="U173" i="8"/>
  <c r="T173" i="8"/>
  <c r="S173" i="8"/>
  <c r="CO172" i="8"/>
  <c r="CN172" i="8"/>
  <c r="CM172" i="8"/>
  <c r="CL172" i="8"/>
  <c r="CF172" i="8"/>
  <c r="CA172" i="8"/>
  <c r="BP172" i="8"/>
  <c r="BN172" i="8"/>
  <c r="BI172" i="8"/>
  <c r="BH172" i="8"/>
  <c r="BF172" i="8"/>
  <c r="BC172" i="8"/>
  <c r="AV172" i="8"/>
  <c r="AU172" i="8"/>
  <c r="AS172" i="8"/>
  <c r="AN172" i="8"/>
  <c r="AM172" i="8"/>
  <c r="AK172" i="8"/>
  <c r="AH172" i="8"/>
  <c r="BG172" i="8" s="1"/>
  <c r="BL172" i="8" s="1"/>
  <c r="AG172" i="8"/>
  <c r="AF172" i="8"/>
  <c r="AE172" i="8"/>
  <c r="AD172" i="8"/>
  <c r="AC172" i="8"/>
  <c r="AB172" i="8"/>
  <c r="AA172" i="8"/>
  <c r="Z172" i="8"/>
  <c r="Y172" i="8"/>
  <c r="X172" i="8"/>
  <c r="W172" i="8"/>
  <c r="V172" i="8"/>
  <c r="U172" i="8"/>
  <c r="T172" i="8"/>
  <c r="S172" i="8"/>
  <c r="CO171" i="8"/>
  <c r="CN171" i="8"/>
  <c r="CM171" i="8"/>
  <c r="CL171" i="8"/>
  <c r="CF171" i="8"/>
  <c r="CA171" i="8"/>
  <c r="BP171" i="8"/>
  <c r="BN171" i="8"/>
  <c r="BI171" i="8"/>
  <c r="BH171" i="8"/>
  <c r="BF171" i="8"/>
  <c r="BC171" i="8"/>
  <c r="AV171" i="8"/>
  <c r="AU171" i="8"/>
  <c r="AS171" i="8"/>
  <c r="AN171" i="8"/>
  <c r="AM171" i="8"/>
  <c r="AK171" i="8"/>
  <c r="AH171" i="8"/>
  <c r="BO171" i="8" s="1"/>
  <c r="BQ171" i="8" s="1"/>
  <c r="BR171" i="8" s="1"/>
  <c r="AG171" i="8"/>
  <c r="AF171" i="8"/>
  <c r="AE171" i="8"/>
  <c r="AD171" i="8"/>
  <c r="AC171" i="8"/>
  <c r="AB171" i="8"/>
  <c r="AT171" i="8" s="1"/>
  <c r="AW171" i="8" s="1"/>
  <c r="AX171" i="8" s="1"/>
  <c r="AA171" i="8"/>
  <c r="Z171" i="8"/>
  <c r="Y171" i="8"/>
  <c r="X171" i="8"/>
  <c r="W171" i="8"/>
  <c r="V171" i="8"/>
  <c r="U171" i="8"/>
  <c r="T171" i="8"/>
  <c r="S171" i="8"/>
  <c r="CO170" i="8"/>
  <c r="CN170" i="8"/>
  <c r="CM170" i="8"/>
  <c r="CL170" i="8"/>
  <c r="CF170" i="8"/>
  <c r="CA170" i="8"/>
  <c r="BP170" i="8"/>
  <c r="BN170" i="8"/>
  <c r="BI170" i="8"/>
  <c r="BH170" i="8"/>
  <c r="BF170" i="8"/>
  <c r="BC170" i="8"/>
  <c r="AV170" i="8"/>
  <c r="AU170" i="8"/>
  <c r="AS170" i="8"/>
  <c r="AN170" i="8"/>
  <c r="AM170" i="8"/>
  <c r="AK170" i="8"/>
  <c r="AH170" i="8"/>
  <c r="BO170" i="8" s="1"/>
  <c r="BQ170" i="8" s="1"/>
  <c r="BR170" i="8" s="1"/>
  <c r="AG170" i="8"/>
  <c r="AF170" i="8"/>
  <c r="AE170" i="8"/>
  <c r="AD170" i="8"/>
  <c r="AC170" i="8"/>
  <c r="AB170" i="8"/>
  <c r="AA170" i="8"/>
  <c r="Z170" i="8"/>
  <c r="Y170" i="8"/>
  <c r="X170" i="8"/>
  <c r="W170" i="8"/>
  <c r="V170" i="8"/>
  <c r="U170" i="8"/>
  <c r="T170" i="8"/>
  <c r="S170" i="8"/>
  <c r="CO169" i="8"/>
  <c r="CN169" i="8"/>
  <c r="CM169" i="8"/>
  <c r="CL169" i="8"/>
  <c r="CF169" i="8"/>
  <c r="CA169" i="8"/>
  <c r="BP169" i="8"/>
  <c r="BN169" i="8"/>
  <c r="BI169" i="8"/>
  <c r="BH169" i="8"/>
  <c r="BF169" i="8"/>
  <c r="BC169" i="8"/>
  <c r="AV169" i="8"/>
  <c r="AU169" i="8"/>
  <c r="AS169" i="8"/>
  <c r="AN169" i="8"/>
  <c r="AM169" i="8"/>
  <c r="AK169" i="8"/>
  <c r="AH169" i="8"/>
  <c r="BO169" i="8" s="1"/>
  <c r="BQ169" i="8" s="1"/>
  <c r="BR169" i="8" s="1"/>
  <c r="AG169" i="8"/>
  <c r="AF169" i="8"/>
  <c r="AE169" i="8"/>
  <c r="AD169" i="8"/>
  <c r="AC169" i="8"/>
  <c r="AB169" i="8"/>
  <c r="AT169" i="8" s="1"/>
  <c r="AW169" i="8" s="1"/>
  <c r="AX169" i="8" s="1"/>
  <c r="AA169" i="8"/>
  <c r="Z169" i="8"/>
  <c r="Y169" i="8"/>
  <c r="X169" i="8"/>
  <c r="W169" i="8"/>
  <c r="V169" i="8"/>
  <c r="U169" i="8"/>
  <c r="T169" i="8"/>
  <c r="S169" i="8"/>
  <c r="CO168" i="8"/>
  <c r="CN168" i="8"/>
  <c r="CM168" i="8"/>
  <c r="CL168" i="8"/>
  <c r="CF168" i="8"/>
  <c r="CA168" i="8"/>
  <c r="BP168" i="8"/>
  <c r="BN168" i="8"/>
  <c r="BI168" i="8"/>
  <c r="BH168" i="8"/>
  <c r="BF168" i="8"/>
  <c r="BC168" i="8"/>
  <c r="AV168" i="8"/>
  <c r="AU168" i="8"/>
  <c r="AS168" i="8"/>
  <c r="AN168" i="8"/>
  <c r="AM168" i="8"/>
  <c r="AK168" i="8"/>
  <c r="AH168" i="8"/>
  <c r="BO168" i="8" s="1"/>
  <c r="BQ168" i="8" s="1"/>
  <c r="BR168" i="8" s="1"/>
  <c r="AG168" i="8"/>
  <c r="AF168" i="8"/>
  <c r="AE168" i="8"/>
  <c r="AD168" i="8"/>
  <c r="AC168" i="8"/>
  <c r="AB168" i="8"/>
  <c r="AA168" i="8"/>
  <c r="Z168" i="8"/>
  <c r="Y168" i="8"/>
  <c r="X168" i="8"/>
  <c r="W168" i="8"/>
  <c r="V168" i="8"/>
  <c r="U168" i="8"/>
  <c r="T168" i="8"/>
  <c r="S168" i="8"/>
  <c r="CO167" i="8"/>
  <c r="CN167" i="8"/>
  <c r="CM167" i="8"/>
  <c r="CL167" i="8"/>
  <c r="CF167" i="8"/>
  <c r="CA167" i="8"/>
  <c r="BP167" i="8"/>
  <c r="BN167" i="8"/>
  <c r="BI167" i="8"/>
  <c r="BH167" i="8"/>
  <c r="BF167" i="8"/>
  <c r="BC167" i="8"/>
  <c r="AV167" i="8"/>
  <c r="AU167" i="8"/>
  <c r="AS167" i="8"/>
  <c r="AN167" i="8"/>
  <c r="AM167" i="8"/>
  <c r="AK167" i="8"/>
  <c r="AH167" i="8"/>
  <c r="BO167" i="8" s="1"/>
  <c r="BQ167" i="8" s="1"/>
  <c r="BR167" i="8" s="1"/>
  <c r="AG167" i="8"/>
  <c r="AF167" i="8"/>
  <c r="AE167" i="8"/>
  <c r="AD167" i="8"/>
  <c r="AC167" i="8"/>
  <c r="AB167" i="8"/>
  <c r="AT167" i="8" s="1"/>
  <c r="AW167" i="8" s="1"/>
  <c r="AX167" i="8" s="1"/>
  <c r="AA167" i="8"/>
  <c r="Z167" i="8"/>
  <c r="Y167" i="8"/>
  <c r="X167" i="8"/>
  <c r="W167" i="8"/>
  <c r="V167" i="8"/>
  <c r="U167" i="8"/>
  <c r="T167" i="8"/>
  <c r="S167" i="8"/>
  <c r="CO166" i="8"/>
  <c r="CN166" i="8"/>
  <c r="CM166" i="8"/>
  <c r="CL166" i="8"/>
  <c r="CF166" i="8"/>
  <c r="CA166" i="8"/>
  <c r="BP166" i="8"/>
  <c r="BN166" i="8"/>
  <c r="BI166" i="8"/>
  <c r="BH166" i="8"/>
  <c r="BF166" i="8"/>
  <c r="BC166" i="8"/>
  <c r="AV166" i="8"/>
  <c r="AU166" i="8"/>
  <c r="AS166" i="8"/>
  <c r="AN166" i="8"/>
  <c r="AM166" i="8"/>
  <c r="AK166" i="8"/>
  <c r="AH166" i="8"/>
  <c r="BO166" i="8" s="1"/>
  <c r="BQ166" i="8" s="1"/>
  <c r="BR166" i="8" s="1"/>
  <c r="AG166" i="8"/>
  <c r="AF166" i="8"/>
  <c r="AE166" i="8"/>
  <c r="AD166" i="8"/>
  <c r="AC166" i="8"/>
  <c r="AB166" i="8"/>
  <c r="AJ166" i="8" s="1"/>
  <c r="AO166" i="8" s="1"/>
  <c r="AP166" i="8" s="1"/>
  <c r="AA166" i="8"/>
  <c r="Z166" i="8"/>
  <c r="Y166" i="8"/>
  <c r="X166" i="8"/>
  <c r="W166" i="8"/>
  <c r="V166" i="8"/>
  <c r="U166" i="8"/>
  <c r="T166" i="8"/>
  <c r="S166" i="8"/>
  <c r="CN165" i="8"/>
  <c r="CO165" i="8" s="1"/>
  <c r="CL165" i="8"/>
  <c r="BP165" i="8"/>
  <c r="BN165" i="8"/>
  <c r="BI165" i="8"/>
  <c r="BH165" i="8"/>
  <c r="BF165" i="8"/>
  <c r="AU165" i="8"/>
  <c r="AS165" i="8"/>
  <c r="AN165" i="8"/>
  <c r="AM165" i="8"/>
  <c r="AK165" i="8"/>
  <c r="AG165" i="8"/>
  <c r="AF165" i="8"/>
  <c r="AE165" i="8"/>
  <c r="AD165" i="8"/>
  <c r="AC165" i="8"/>
  <c r="AA165" i="8"/>
  <c r="Z165" i="8"/>
  <c r="Y165" i="8"/>
  <c r="X165" i="8"/>
  <c r="W165" i="8"/>
  <c r="V165" i="8"/>
  <c r="U165" i="8"/>
  <c r="AV165" i="8" s="1"/>
  <c r="T165" i="8"/>
  <c r="S165" i="8"/>
  <c r="CN164" i="8"/>
  <c r="CL164" i="8"/>
  <c r="BP164" i="8"/>
  <c r="BN164" i="8"/>
  <c r="BI164" i="8"/>
  <c r="BH164" i="8"/>
  <c r="BF164" i="8"/>
  <c r="AU164" i="8"/>
  <c r="AS164" i="8"/>
  <c r="AN164" i="8"/>
  <c r="AM164" i="8"/>
  <c r="AK164" i="8"/>
  <c r="AG164" i="8"/>
  <c r="AF164" i="8"/>
  <c r="AE164" i="8"/>
  <c r="AD164" i="8"/>
  <c r="AC164" i="8"/>
  <c r="AA164" i="8"/>
  <c r="Z164" i="8"/>
  <c r="Y164" i="8"/>
  <c r="X164" i="8"/>
  <c r="W164" i="8"/>
  <c r="V164" i="8"/>
  <c r="U164" i="8"/>
  <c r="AV164" i="8" s="1"/>
  <c r="T164" i="8"/>
  <c r="S164" i="8"/>
  <c r="CN163" i="8"/>
  <c r="CO163" i="8" s="1"/>
  <c r="CL163" i="8"/>
  <c r="CM163" i="8" s="1"/>
  <c r="BP163" i="8"/>
  <c r="BN163" i="8"/>
  <c r="BI163" i="8"/>
  <c r="BH163" i="8"/>
  <c r="BF163" i="8"/>
  <c r="AV163" i="8"/>
  <c r="AU163" i="8"/>
  <c r="AS163" i="8"/>
  <c r="AN163" i="8"/>
  <c r="AM163" i="8"/>
  <c r="AK163" i="8"/>
  <c r="AG163" i="8"/>
  <c r="AF163" i="8"/>
  <c r="AE163" i="8"/>
  <c r="AD163" i="8"/>
  <c r="AC163" i="8"/>
  <c r="AA163" i="8"/>
  <c r="Z163" i="8"/>
  <c r="Y163" i="8"/>
  <c r="X163" i="8"/>
  <c r="W163" i="8"/>
  <c r="V163" i="8"/>
  <c r="U163" i="8"/>
  <c r="T163" i="8"/>
  <c r="S163" i="8"/>
  <c r="CO157" i="8"/>
  <c r="CN157" i="8"/>
  <c r="CM157" i="8"/>
  <c r="CL157" i="8"/>
  <c r="CF157" i="8"/>
  <c r="CA157" i="8"/>
  <c r="BP157" i="8"/>
  <c r="BN157" i="8"/>
  <c r="BI157" i="8"/>
  <c r="BH157" i="8"/>
  <c r="BF157" i="8"/>
  <c r="BC157" i="8"/>
  <c r="AV157" i="8"/>
  <c r="AU157" i="8"/>
  <c r="AS157" i="8"/>
  <c r="AN157" i="8"/>
  <c r="AM157" i="8"/>
  <c r="AK157" i="8"/>
  <c r="AH157" i="8"/>
  <c r="AG157" i="8"/>
  <c r="AF157" i="8"/>
  <c r="AE157" i="8"/>
  <c r="AD157" i="8"/>
  <c r="AC157" i="8"/>
  <c r="AB157" i="8"/>
  <c r="AT157" i="8" s="1"/>
  <c r="AW157" i="8" s="1"/>
  <c r="AX157" i="8" s="1"/>
  <c r="AA157" i="8"/>
  <c r="Z157" i="8"/>
  <c r="Y157" i="8"/>
  <c r="X157" i="8"/>
  <c r="W157" i="8"/>
  <c r="V157" i="8"/>
  <c r="U157" i="8"/>
  <c r="T157" i="8"/>
  <c r="S157" i="8"/>
  <c r="CO156" i="8"/>
  <c r="CN156" i="8"/>
  <c r="CM156" i="8"/>
  <c r="CL156" i="8"/>
  <c r="CF156" i="8"/>
  <c r="CA156" i="8"/>
  <c r="BP156" i="8"/>
  <c r="BN156" i="8"/>
  <c r="BI156" i="8"/>
  <c r="BH156" i="8"/>
  <c r="BF156" i="8"/>
  <c r="BC156" i="8"/>
  <c r="AV156" i="8"/>
  <c r="AU156" i="8"/>
  <c r="AS156" i="8"/>
  <c r="AN156" i="8"/>
  <c r="AM156" i="8"/>
  <c r="AK156" i="8"/>
  <c r="AH156" i="8"/>
  <c r="BE156" i="8" s="1"/>
  <c r="BJ156" i="8" s="1"/>
  <c r="BK156" i="8" s="1"/>
  <c r="BX156" i="8" s="1"/>
  <c r="AG156" i="8"/>
  <c r="AF156" i="8"/>
  <c r="AE156" i="8"/>
  <c r="AD156" i="8"/>
  <c r="AC156" i="8"/>
  <c r="AB156" i="8"/>
  <c r="AJ156" i="8" s="1"/>
  <c r="AO156" i="8" s="1"/>
  <c r="AP156" i="8" s="1"/>
  <c r="AA156" i="8"/>
  <c r="Z156" i="8"/>
  <c r="Y156" i="8"/>
  <c r="X156" i="8"/>
  <c r="W156" i="8"/>
  <c r="V156" i="8"/>
  <c r="U156" i="8"/>
  <c r="T156" i="8"/>
  <c r="S156" i="8"/>
  <c r="CO155" i="8"/>
  <c r="CN155" i="8"/>
  <c r="CM155" i="8"/>
  <c r="CL155" i="8"/>
  <c r="CF155" i="8"/>
  <c r="CA155" i="8"/>
  <c r="BP155" i="8"/>
  <c r="BN155" i="8"/>
  <c r="BI155" i="8"/>
  <c r="BH155" i="8"/>
  <c r="BF155" i="8"/>
  <c r="BC155" i="8"/>
  <c r="AV155" i="8"/>
  <c r="AU155" i="8"/>
  <c r="AS155" i="8"/>
  <c r="AN155" i="8"/>
  <c r="AM155" i="8"/>
  <c r="AK155" i="8"/>
  <c r="AH155" i="8"/>
  <c r="AG155" i="8"/>
  <c r="AF155" i="8"/>
  <c r="AE155" i="8"/>
  <c r="AD155" i="8"/>
  <c r="AC155" i="8"/>
  <c r="AB155" i="8"/>
  <c r="AT155" i="8" s="1"/>
  <c r="AW155" i="8" s="1"/>
  <c r="AX155" i="8" s="1"/>
  <c r="AY155" i="8" s="1"/>
  <c r="AA155" i="8"/>
  <c r="Z155" i="8"/>
  <c r="Y155" i="8"/>
  <c r="X155" i="8"/>
  <c r="W155" i="8"/>
  <c r="V155" i="8"/>
  <c r="U155" i="8"/>
  <c r="T155" i="8"/>
  <c r="S155" i="8"/>
  <c r="CO154" i="8"/>
  <c r="CN154" i="8"/>
  <c r="CM154" i="8"/>
  <c r="CL154" i="8"/>
  <c r="CF154" i="8"/>
  <c r="CA154" i="8"/>
  <c r="BP154" i="8"/>
  <c r="BN154" i="8"/>
  <c r="BI154" i="8"/>
  <c r="BH154" i="8"/>
  <c r="BF154" i="8"/>
  <c r="BC154" i="8"/>
  <c r="AV154" i="8"/>
  <c r="AU154" i="8"/>
  <c r="AS154" i="8"/>
  <c r="AN154" i="8"/>
  <c r="AM154" i="8"/>
  <c r="AK154" i="8"/>
  <c r="AH154" i="8"/>
  <c r="BE154" i="8" s="1"/>
  <c r="BJ154" i="8" s="1"/>
  <c r="BK154" i="8" s="1"/>
  <c r="BX154" i="8" s="1"/>
  <c r="AG154" i="8"/>
  <c r="AF154" i="8"/>
  <c r="AE154" i="8"/>
  <c r="AD154" i="8"/>
  <c r="AC154" i="8"/>
  <c r="AB154" i="8"/>
  <c r="AL154" i="8" s="1"/>
  <c r="AQ154" i="8" s="1"/>
  <c r="AA154" i="8"/>
  <c r="Z154" i="8"/>
  <c r="Y154" i="8"/>
  <c r="X154" i="8"/>
  <c r="W154" i="8"/>
  <c r="V154" i="8"/>
  <c r="U154" i="8"/>
  <c r="T154" i="8"/>
  <c r="S154" i="8"/>
  <c r="CO153" i="8"/>
  <c r="CN153" i="8"/>
  <c r="CM153" i="8"/>
  <c r="CL153" i="8"/>
  <c r="CF153" i="8"/>
  <c r="CA153" i="8"/>
  <c r="BP153" i="8"/>
  <c r="BN153" i="8"/>
  <c r="BI153" i="8"/>
  <c r="BH153" i="8"/>
  <c r="BF153" i="8"/>
  <c r="BC153" i="8"/>
  <c r="AV153" i="8"/>
  <c r="AU153" i="8"/>
  <c r="AS153" i="8"/>
  <c r="AN153" i="8"/>
  <c r="AM153" i="8"/>
  <c r="AK153" i="8"/>
  <c r="AH153" i="8"/>
  <c r="BE153" i="8" s="1"/>
  <c r="BJ153" i="8" s="1"/>
  <c r="BK153" i="8" s="1"/>
  <c r="BV153" i="8" s="1"/>
  <c r="AG153" i="8"/>
  <c r="AF153" i="8"/>
  <c r="AE153" i="8"/>
  <c r="AD153" i="8"/>
  <c r="AC153" i="8"/>
  <c r="AB153" i="8"/>
  <c r="AA153" i="8"/>
  <c r="Z153" i="8"/>
  <c r="Y153" i="8"/>
  <c r="X153" i="8"/>
  <c r="W153" i="8"/>
  <c r="V153" i="8"/>
  <c r="U153" i="8"/>
  <c r="T153" i="8"/>
  <c r="S153" i="8"/>
  <c r="CO152" i="8"/>
  <c r="CN152" i="8"/>
  <c r="CM152" i="8"/>
  <c r="CL152" i="8"/>
  <c r="CF152" i="8"/>
  <c r="CA152" i="8"/>
  <c r="BP152" i="8"/>
  <c r="BN152" i="8"/>
  <c r="BI152" i="8"/>
  <c r="BH152" i="8"/>
  <c r="BF152" i="8"/>
  <c r="BC152" i="8"/>
  <c r="AV152" i="8"/>
  <c r="AU152" i="8"/>
  <c r="AS152" i="8"/>
  <c r="AN152" i="8"/>
  <c r="AM152" i="8"/>
  <c r="AK152" i="8"/>
  <c r="AH152" i="8"/>
  <c r="AG152" i="8"/>
  <c r="AF152" i="8"/>
  <c r="AE152" i="8"/>
  <c r="AD152" i="8"/>
  <c r="AC152" i="8"/>
  <c r="AB152" i="8"/>
  <c r="AA152" i="8"/>
  <c r="Z152" i="8"/>
  <c r="Y152" i="8"/>
  <c r="X152" i="8"/>
  <c r="W152" i="8"/>
  <c r="V152" i="8"/>
  <c r="U152" i="8"/>
  <c r="T152" i="8"/>
  <c r="S152" i="8"/>
  <c r="CO151" i="8"/>
  <c r="CN151" i="8"/>
  <c r="CM151" i="8"/>
  <c r="CL151" i="8"/>
  <c r="CF151" i="8"/>
  <c r="CA151" i="8"/>
  <c r="BP151" i="8"/>
  <c r="BN151" i="8"/>
  <c r="BI151" i="8"/>
  <c r="BH151" i="8"/>
  <c r="BF151" i="8"/>
  <c r="BC151" i="8"/>
  <c r="AV151" i="8"/>
  <c r="AU151" i="8"/>
  <c r="AS151" i="8"/>
  <c r="AN151" i="8"/>
  <c r="AM151" i="8"/>
  <c r="AK151" i="8"/>
  <c r="AJ151" i="8"/>
  <c r="AO151" i="8" s="1"/>
  <c r="AP151" i="8" s="1"/>
  <c r="AH151" i="8"/>
  <c r="AG151" i="8"/>
  <c r="AF151" i="8"/>
  <c r="AE151" i="8"/>
  <c r="AD151" i="8"/>
  <c r="AC151" i="8"/>
  <c r="AB151" i="8"/>
  <c r="AT151" i="8" s="1"/>
  <c r="AW151" i="8" s="1"/>
  <c r="AX151" i="8" s="1"/>
  <c r="AA151" i="8"/>
  <c r="Z151" i="8"/>
  <c r="Y151" i="8"/>
  <c r="X151" i="8"/>
  <c r="W151" i="8"/>
  <c r="V151" i="8"/>
  <c r="U151" i="8"/>
  <c r="T151" i="8"/>
  <c r="S151" i="8"/>
  <c r="CO150" i="8"/>
  <c r="CN150" i="8"/>
  <c r="CM150" i="8"/>
  <c r="CL150" i="8"/>
  <c r="CF150" i="8"/>
  <c r="CA150" i="8"/>
  <c r="BP150" i="8"/>
  <c r="BN150" i="8"/>
  <c r="BI150" i="8"/>
  <c r="BH150" i="8"/>
  <c r="BF150" i="8"/>
  <c r="BC150" i="8"/>
  <c r="AV150" i="8"/>
  <c r="AU150" i="8"/>
  <c r="AS150" i="8"/>
  <c r="AN150" i="8"/>
  <c r="AM150" i="8"/>
  <c r="AK150" i="8"/>
  <c r="AH150" i="8"/>
  <c r="BE150" i="8" s="1"/>
  <c r="BJ150" i="8" s="1"/>
  <c r="BK150" i="8" s="1"/>
  <c r="AG150" i="8"/>
  <c r="AF150" i="8"/>
  <c r="AE150" i="8"/>
  <c r="AD150" i="8"/>
  <c r="AC150" i="8"/>
  <c r="AB150" i="8"/>
  <c r="AA150" i="8"/>
  <c r="Z150" i="8"/>
  <c r="Y150" i="8"/>
  <c r="X150" i="8"/>
  <c r="W150" i="8"/>
  <c r="V150" i="8"/>
  <c r="U150" i="8"/>
  <c r="T150" i="8"/>
  <c r="S150" i="8"/>
  <c r="CO149" i="8"/>
  <c r="CN149" i="8"/>
  <c r="CM149" i="8"/>
  <c r="CL149" i="8"/>
  <c r="CF149" i="8"/>
  <c r="CA149" i="8"/>
  <c r="BP149" i="8"/>
  <c r="BN149" i="8"/>
  <c r="BI149" i="8"/>
  <c r="BH149" i="8"/>
  <c r="BF149" i="8"/>
  <c r="BC149" i="8"/>
  <c r="AV149" i="8"/>
  <c r="AU149" i="8"/>
  <c r="AS149" i="8"/>
  <c r="AN149" i="8"/>
  <c r="AM149" i="8"/>
  <c r="AK149" i="8"/>
  <c r="AH149" i="8"/>
  <c r="BE149" i="8" s="1"/>
  <c r="BJ149" i="8" s="1"/>
  <c r="BK149" i="8" s="1"/>
  <c r="BU149" i="8" s="1"/>
  <c r="AG149" i="8"/>
  <c r="AF149" i="8"/>
  <c r="AE149" i="8"/>
  <c r="AD149" i="8"/>
  <c r="AC149" i="8"/>
  <c r="AB149" i="8"/>
  <c r="AA149" i="8"/>
  <c r="Z149" i="8"/>
  <c r="Y149" i="8"/>
  <c r="X149" i="8"/>
  <c r="W149" i="8"/>
  <c r="V149" i="8"/>
  <c r="U149" i="8"/>
  <c r="T149" i="8"/>
  <c r="S149" i="8"/>
  <c r="CO148" i="8"/>
  <c r="CN148" i="8"/>
  <c r="CM148" i="8"/>
  <c r="CL148" i="8"/>
  <c r="CF148" i="8"/>
  <c r="CA148" i="8"/>
  <c r="BP148" i="8"/>
  <c r="BN148" i="8"/>
  <c r="BI148" i="8"/>
  <c r="BH148" i="8"/>
  <c r="BF148" i="8"/>
  <c r="BC148" i="8"/>
  <c r="AV148" i="8"/>
  <c r="AU148" i="8"/>
  <c r="AS148" i="8"/>
  <c r="AN148" i="8"/>
  <c r="AM148" i="8"/>
  <c r="AK148" i="8"/>
  <c r="AH148" i="8"/>
  <c r="BO148" i="8" s="1"/>
  <c r="BQ148" i="8" s="1"/>
  <c r="BR148" i="8" s="1"/>
  <c r="AG148" i="8"/>
  <c r="AF148" i="8"/>
  <c r="AE148" i="8"/>
  <c r="AD148" i="8"/>
  <c r="AC148" i="8"/>
  <c r="AB148" i="8"/>
  <c r="AA148" i="8"/>
  <c r="Z148" i="8"/>
  <c r="Y148" i="8"/>
  <c r="X148" i="8"/>
  <c r="W148" i="8"/>
  <c r="V148" i="8"/>
  <c r="U148" i="8"/>
  <c r="T148" i="8"/>
  <c r="S148" i="8"/>
  <c r="CO147" i="8"/>
  <c r="CN147" i="8"/>
  <c r="CM147" i="8"/>
  <c r="CL147" i="8"/>
  <c r="CF147" i="8"/>
  <c r="CA147" i="8"/>
  <c r="BP147" i="8"/>
  <c r="BN147" i="8"/>
  <c r="BI147" i="8"/>
  <c r="BH147" i="8"/>
  <c r="BF147" i="8"/>
  <c r="BC147" i="8"/>
  <c r="AV147" i="8"/>
  <c r="AU147" i="8"/>
  <c r="AS147" i="8"/>
  <c r="AN147" i="8"/>
  <c r="AM147" i="8"/>
  <c r="AK147" i="8"/>
  <c r="AH147" i="8"/>
  <c r="BO147" i="8" s="1"/>
  <c r="BQ147" i="8" s="1"/>
  <c r="BR147" i="8" s="1"/>
  <c r="AG147" i="8"/>
  <c r="AF147" i="8"/>
  <c r="AE147" i="8"/>
  <c r="AD147" i="8"/>
  <c r="AC147" i="8"/>
  <c r="AB147" i="8"/>
  <c r="AA147" i="8"/>
  <c r="Z147" i="8"/>
  <c r="Y147" i="8"/>
  <c r="X147" i="8"/>
  <c r="W147" i="8"/>
  <c r="V147" i="8"/>
  <c r="U147" i="8"/>
  <c r="T147" i="8"/>
  <c r="S147" i="8"/>
  <c r="CO146" i="8"/>
  <c r="CN146" i="8"/>
  <c r="CM146" i="8"/>
  <c r="CL146" i="8"/>
  <c r="CF146" i="8"/>
  <c r="CA146" i="8"/>
  <c r="BP146" i="8"/>
  <c r="BN146" i="8"/>
  <c r="BI146" i="8"/>
  <c r="BH146" i="8"/>
  <c r="BF146" i="8"/>
  <c r="BC146" i="8"/>
  <c r="AV146" i="8"/>
  <c r="AU146" i="8"/>
  <c r="AS146" i="8"/>
  <c r="AN146" i="8"/>
  <c r="AM146" i="8"/>
  <c r="AK146" i="8"/>
  <c r="AH146" i="8"/>
  <c r="BO146" i="8" s="1"/>
  <c r="BQ146" i="8" s="1"/>
  <c r="BR146" i="8" s="1"/>
  <c r="AG146" i="8"/>
  <c r="AF146" i="8"/>
  <c r="AE146" i="8"/>
  <c r="AD146" i="8"/>
  <c r="AC146" i="8"/>
  <c r="AB146" i="8"/>
  <c r="AT146" i="8" s="1"/>
  <c r="AW146" i="8" s="1"/>
  <c r="AX146" i="8" s="1"/>
  <c r="AA146" i="8"/>
  <c r="Z146" i="8"/>
  <c r="Y146" i="8"/>
  <c r="X146" i="8"/>
  <c r="W146" i="8"/>
  <c r="V146" i="8"/>
  <c r="U146" i="8"/>
  <c r="T146" i="8"/>
  <c r="S146" i="8"/>
  <c r="CO145" i="8"/>
  <c r="CN145" i="8"/>
  <c r="CM145" i="8"/>
  <c r="CL145" i="8"/>
  <c r="CF145" i="8"/>
  <c r="CA145" i="8"/>
  <c r="BP145" i="8"/>
  <c r="BN145" i="8"/>
  <c r="BI145" i="8"/>
  <c r="BH145" i="8"/>
  <c r="BF145" i="8"/>
  <c r="BC145" i="8"/>
  <c r="AV145" i="8"/>
  <c r="AU145" i="8"/>
  <c r="AS145" i="8"/>
  <c r="AN145" i="8"/>
  <c r="AM145" i="8"/>
  <c r="AK145" i="8"/>
  <c r="AH145" i="8"/>
  <c r="AG145" i="8"/>
  <c r="AF145" i="8"/>
  <c r="AE145" i="8"/>
  <c r="AD145" i="8"/>
  <c r="AC145" i="8"/>
  <c r="AB145" i="8"/>
  <c r="AL145" i="8" s="1"/>
  <c r="AQ145" i="8" s="1"/>
  <c r="AA145" i="8"/>
  <c r="Z145" i="8"/>
  <c r="Y145" i="8"/>
  <c r="X145" i="8"/>
  <c r="W145" i="8"/>
  <c r="V145" i="8"/>
  <c r="U145" i="8"/>
  <c r="T145" i="8"/>
  <c r="S145" i="8"/>
  <c r="CO144" i="8"/>
  <c r="CN144" i="8"/>
  <c r="CM144" i="8"/>
  <c r="CL144" i="8"/>
  <c r="CF144" i="8"/>
  <c r="CA144" i="8"/>
  <c r="BP144" i="8"/>
  <c r="BN144" i="8"/>
  <c r="BI144" i="8"/>
  <c r="BH144" i="8"/>
  <c r="BF144" i="8"/>
  <c r="BC144" i="8"/>
  <c r="AV144" i="8"/>
  <c r="AU144" i="8"/>
  <c r="AS144" i="8"/>
  <c r="AN144" i="8"/>
  <c r="AM144" i="8"/>
  <c r="AK144" i="8"/>
  <c r="AH144" i="8"/>
  <c r="BO144" i="8" s="1"/>
  <c r="BQ144" i="8" s="1"/>
  <c r="BR144" i="8" s="1"/>
  <c r="AG144" i="8"/>
  <c r="AF144" i="8"/>
  <c r="AE144" i="8"/>
  <c r="AD144" i="8"/>
  <c r="AC144" i="8"/>
  <c r="AB144" i="8"/>
  <c r="AA144" i="8"/>
  <c r="Z144" i="8"/>
  <c r="Y144" i="8"/>
  <c r="X144" i="8"/>
  <c r="W144" i="8"/>
  <c r="V144" i="8"/>
  <c r="U144" i="8"/>
  <c r="T144" i="8"/>
  <c r="S144" i="8"/>
  <c r="CO143" i="8"/>
  <c r="CN143" i="8"/>
  <c r="CM143" i="8"/>
  <c r="CL143" i="8"/>
  <c r="CF143" i="8"/>
  <c r="CA143" i="8"/>
  <c r="BP143" i="8"/>
  <c r="BN143" i="8"/>
  <c r="BI143" i="8"/>
  <c r="BH143" i="8"/>
  <c r="BF143" i="8"/>
  <c r="BC143" i="8"/>
  <c r="AV143" i="8"/>
  <c r="AU143" i="8"/>
  <c r="AS143" i="8"/>
  <c r="AN143" i="8"/>
  <c r="AM143" i="8"/>
  <c r="AK143" i="8"/>
  <c r="AH143" i="8"/>
  <c r="AG143" i="8"/>
  <c r="AF143" i="8"/>
  <c r="AE143" i="8"/>
  <c r="AD143" i="8"/>
  <c r="AC143" i="8"/>
  <c r="AB143" i="8"/>
  <c r="AA143" i="8"/>
  <c r="Z143" i="8"/>
  <c r="Y143" i="8"/>
  <c r="X143" i="8"/>
  <c r="W143" i="8"/>
  <c r="V143" i="8"/>
  <c r="U143" i="8"/>
  <c r="T143" i="8"/>
  <c r="S143" i="8"/>
  <c r="CO142" i="8"/>
  <c r="CN142" i="8"/>
  <c r="CM142" i="8"/>
  <c r="CL142" i="8"/>
  <c r="CF142" i="8"/>
  <c r="CA142" i="8"/>
  <c r="BP142" i="8"/>
  <c r="BN142" i="8"/>
  <c r="BI142" i="8"/>
  <c r="BH142" i="8"/>
  <c r="BF142" i="8"/>
  <c r="BC142" i="8"/>
  <c r="AV142" i="8"/>
  <c r="AU142" i="8"/>
  <c r="AS142" i="8"/>
  <c r="AN142" i="8"/>
  <c r="AM142" i="8"/>
  <c r="AK142" i="8"/>
  <c r="AH142" i="8"/>
  <c r="BO142" i="8" s="1"/>
  <c r="BQ142" i="8" s="1"/>
  <c r="BR142" i="8" s="1"/>
  <c r="BS142" i="8" s="1"/>
  <c r="AG142" i="8"/>
  <c r="AF142" i="8"/>
  <c r="AE142" i="8"/>
  <c r="AD142" i="8"/>
  <c r="AC142" i="8"/>
  <c r="AB142" i="8"/>
  <c r="AA142" i="8"/>
  <c r="Z142" i="8"/>
  <c r="Y142" i="8"/>
  <c r="X142" i="8"/>
  <c r="W142" i="8"/>
  <c r="V142" i="8"/>
  <c r="U142" i="8"/>
  <c r="T142" i="8"/>
  <c r="S142" i="8"/>
  <c r="CO141" i="8"/>
  <c r="CN141" i="8"/>
  <c r="CM141" i="8"/>
  <c r="CL141" i="8"/>
  <c r="CF141" i="8"/>
  <c r="CA141" i="8"/>
  <c r="BP141" i="8"/>
  <c r="BN141" i="8"/>
  <c r="BI141" i="8"/>
  <c r="BH141" i="8"/>
  <c r="BF141" i="8"/>
  <c r="BC141" i="8"/>
  <c r="AV141" i="8"/>
  <c r="AU141" i="8"/>
  <c r="AS141" i="8"/>
  <c r="AN141" i="8"/>
  <c r="AM141" i="8"/>
  <c r="AK141" i="8"/>
  <c r="AH141" i="8"/>
  <c r="BG141" i="8" s="1"/>
  <c r="BL141" i="8" s="1"/>
  <c r="AG141" i="8"/>
  <c r="AF141" i="8"/>
  <c r="AE141" i="8"/>
  <c r="AD141" i="8"/>
  <c r="AC141" i="8"/>
  <c r="AB141" i="8"/>
  <c r="AJ141" i="8" s="1"/>
  <c r="AO141" i="8" s="1"/>
  <c r="AP141" i="8" s="1"/>
  <c r="AA141" i="8"/>
  <c r="Z141" i="8"/>
  <c r="Y141" i="8"/>
  <c r="X141" i="8"/>
  <c r="W141" i="8"/>
  <c r="V141" i="8"/>
  <c r="U141" i="8"/>
  <c r="T141" i="8"/>
  <c r="S141" i="8"/>
  <c r="CO140" i="8"/>
  <c r="CN140" i="8"/>
  <c r="CM140" i="8"/>
  <c r="CL140" i="8"/>
  <c r="CF140" i="8"/>
  <c r="CA140" i="8"/>
  <c r="BP140" i="8"/>
  <c r="BN140" i="8"/>
  <c r="BI140" i="8"/>
  <c r="BH140" i="8"/>
  <c r="BF140" i="8"/>
  <c r="BC140" i="8"/>
  <c r="AV140" i="8"/>
  <c r="AU140" i="8"/>
  <c r="AS140" i="8"/>
  <c r="AN140" i="8"/>
  <c r="AM140" i="8"/>
  <c r="AK140" i="8"/>
  <c r="AH140" i="8"/>
  <c r="BO140" i="8" s="1"/>
  <c r="BQ140" i="8" s="1"/>
  <c r="BR140" i="8" s="1"/>
  <c r="AG140" i="8"/>
  <c r="AF140" i="8"/>
  <c r="AE140" i="8"/>
  <c r="AD140" i="8"/>
  <c r="AC140" i="8"/>
  <c r="AB140" i="8"/>
  <c r="AA140" i="8"/>
  <c r="Z140" i="8"/>
  <c r="Y140" i="8"/>
  <c r="X140" i="8"/>
  <c r="W140" i="8"/>
  <c r="V140" i="8"/>
  <c r="U140" i="8"/>
  <c r="T140" i="8"/>
  <c r="S140" i="8"/>
  <c r="CO139" i="8"/>
  <c r="CN139" i="8"/>
  <c r="CM139" i="8"/>
  <c r="CL139" i="8"/>
  <c r="CF139" i="8"/>
  <c r="CA139" i="8"/>
  <c r="BP139" i="8"/>
  <c r="BN139" i="8"/>
  <c r="BI139" i="8"/>
  <c r="BH139" i="8"/>
  <c r="BF139" i="8"/>
  <c r="BC139" i="8"/>
  <c r="AV139" i="8"/>
  <c r="AU139" i="8"/>
  <c r="AS139" i="8"/>
  <c r="AN139" i="8"/>
  <c r="AM139" i="8"/>
  <c r="AK139" i="8"/>
  <c r="AH139" i="8"/>
  <c r="BO139" i="8" s="1"/>
  <c r="BQ139" i="8" s="1"/>
  <c r="BR139" i="8" s="1"/>
  <c r="AG139" i="8"/>
  <c r="AF139" i="8"/>
  <c r="AE139" i="8"/>
  <c r="AD139" i="8"/>
  <c r="AC139" i="8"/>
  <c r="AB139" i="8"/>
  <c r="AA139" i="8"/>
  <c r="Z139" i="8"/>
  <c r="Y139" i="8"/>
  <c r="X139" i="8"/>
  <c r="W139" i="8"/>
  <c r="V139" i="8"/>
  <c r="U139" i="8"/>
  <c r="T139" i="8"/>
  <c r="S139" i="8"/>
  <c r="CO138" i="8"/>
  <c r="CN138" i="8"/>
  <c r="CM138" i="8"/>
  <c r="CL138" i="8"/>
  <c r="CF138" i="8"/>
  <c r="CA138" i="8"/>
  <c r="BP138" i="8"/>
  <c r="BN138" i="8"/>
  <c r="BI138" i="8"/>
  <c r="BH138" i="8"/>
  <c r="BF138" i="8"/>
  <c r="BC138" i="8"/>
  <c r="AV138" i="8"/>
  <c r="AU138" i="8"/>
  <c r="AS138" i="8"/>
  <c r="AN138" i="8"/>
  <c r="AM138" i="8"/>
  <c r="AK138" i="8"/>
  <c r="AH138" i="8"/>
  <c r="BO138" i="8" s="1"/>
  <c r="BQ138" i="8" s="1"/>
  <c r="BR138" i="8" s="1"/>
  <c r="BS138" i="8" s="1"/>
  <c r="AG138" i="8"/>
  <c r="AF138" i="8"/>
  <c r="AE138" i="8"/>
  <c r="AD138" i="8"/>
  <c r="AC138" i="8"/>
  <c r="AB138" i="8"/>
  <c r="AT138" i="8" s="1"/>
  <c r="AW138" i="8" s="1"/>
  <c r="AX138" i="8" s="1"/>
  <c r="AA138" i="8"/>
  <c r="Z138" i="8"/>
  <c r="Y138" i="8"/>
  <c r="X138" i="8"/>
  <c r="W138" i="8"/>
  <c r="V138" i="8"/>
  <c r="U138" i="8"/>
  <c r="T138" i="8"/>
  <c r="S138" i="8"/>
  <c r="CO137" i="8"/>
  <c r="CN137" i="8"/>
  <c r="CM137" i="8"/>
  <c r="CL137" i="8"/>
  <c r="CF137" i="8"/>
  <c r="CA137" i="8"/>
  <c r="BP137" i="8"/>
  <c r="BN137" i="8"/>
  <c r="BI137" i="8"/>
  <c r="BH137" i="8"/>
  <c r="BF137" i="8"/>
  <c r="BC137" i="8"/>
  <c r="AV137" i="8"/>
  <c r="AU137" i="8"/>
  <c r="AS137" i="8"/>
  <c r="AN137" i="8"/>
  <c r="AM137" i="8"/>
  <c r="AK137" i="8"/>
  <c r="AH137" i="8"/>
  <c r="BO137" i="8" s="1"/>
  <c r="BQ137" i="8" s="1"/>
  <c r="BR137" i="8" s="1"/>
  <c r="AG137" i="8"/>
  <c r="AF137" i="8"/>
  <c r="AE137" i="8"/>
  <c r="AD137" i="8"/>
  <c r="AC137" i="8"/>
  <c r="AB137" i="8"/>
  <c r="AT137" i="8" s="1"/>
  <c r="AW137" i="8" s="1"/>
  <c r="AX137" i="8" s="1"/>
  <c r="AA137" i="8"/>
  <c r="Z137" i="8"/>
  <c r="Y137" i="8"/>
  <c r="X137" i="8"/>
  <c r="W137" i="8"/>
  <c r="V137" i="8"/>
  <c r="U137" i="8"/>
  <c r="T137" i="8"/>
  <c r="S137" i="8"/>
  <c r="CO136" i="8"/>
  <c r="CN136" i="8"/>
  <c r="CM136" i="8"/>
  <c r="CL136" i="8"/>
  <c r="CF136" i="8"/>
  <c r="CA136" i="8"/>
  <c r="BP136" i="8"/>
  <c r="BN136" i="8"/>
  <c r="BI136" i="8"/>
  <c r="BH136" i="8"/>
  <c r="BF136" i="8"/>
  <c r="BC136" i="8"/>
  <c r="AV136" i="8"/>
  <c r="AU136" i="8"/>
  <c r="AS136" i="8"/>
  <c r="AN136" i="8"/>
  <c r="AM136" i="8"/>
  <c r="AK136" i="8"/>
  <c r="AH136" i="8"/>
  <c r="BO136" i="8" s="1"/>
  <c r="BQ136" i="8" s="1"/>
  <c r="BR136" i="8" s="1"/>
  <c r="AG136" i="8"/>
  <c r="AF136" i="8"/>
  <c r="AE136" i="8"/>
  <c r="AD136" i="8"/>
  <c r="AC136" i="8"/>
  <c r="AB136" i="8"/>
  <c r="AT136" i="8" s="1"/>
  <c r="AW136" i="8" s="1"/>
  <c r="AX136" i="8" s="1"/>
  <c r="AA136" i="8"/>
  <c r="Z136" i="8"/>
  <c r="Y136" i="8"/>
  <c r="X136" i="8"/>
  <c r="W136" i="8"/>
  <c r="V136" i="8"/>
  <c r="U136" i="8"/>
  <c r="T136" i="8"/>
  <c r="S136" i="8"/>
  <c r="CN135" i="8"/>
  <c r="CO135" i="8" s="1"/>
  <c r="CL135" i="8"/>
  <c r="BP135" i="8"/>
  <c r="BN135" i="8"/>
  <c r="BI135" i="8"/>
  <c r="BH135" i="8"/>
  <c r="BF135" i="8"/>
  <c r="AU135" i="8"/>
  <c r="AS135" i="8"/>
  <c r="AN135" i="8"/>
  <c r="AM135" i="8"/>
  <c r="AK135" i="8"/>
  <c r="AG135" i="8"/>
  <c r="AF135" i="8"/>
  <c r="AE135" i="8"/>
  <c r="AD135" i="8"/>
  <c r="AC135" i="8"/>
  <c r="AA135" i="8"/>
  <c r="Z135" i="8"/>
  <c r="Y135" i="8"/>
  <c r="X135" i="8"/>
  <c r="W135" i="8"/>
  <c r="V135" i="8"/>
  <c r="U135" i="8"/>
  <c r="AV135" i="8" s="1"/>
  <c r="T135" i="8"/>
  <c r="S135" i="8"/>
  <c r="CN134" i="8"/>
  <c r="CL134" i="8"/>
  <c r="BP134" i="8"/>
  <c r="BN134" i="8"/>
  <c r="BI134" i="8"/>
  <c r="BH134" i="8"/>
  <c r="BF134" i="8"/>
  <c r="AU134" i="8"/>
  <c r="AS134" i="8"/>
  <c r="AN134" i="8"/>
  <c r="AM134" i="8"/>
  <c r="AK134" i="8"/>
  <c r="AG134" i="8"/>
  <c r="AF134" i="8"/>
  <c r="AE134" i="8"/>
  <c r="AD134" i="8"/>
  <c r="AC134" i="8"/>
  <c r="AA134" i="8"/>
  <c r="Z134" i="8"/>
  <c r="Y134" i="8"/>
  <c r="X134" i="8"/>
  <c r="W134" i="8"/>
  <c r="V134" i="8"/>
  <c r="U134" i="8"/>
  <c r="AV134" i="8" s="1"/>
  <c r="T134" i="8"/>
  <c r="S134" i="8"/>
  <c r="CN133" i="8"/>
  <c r="CO133" i="8" s="1"/>
  <c r="CL133" i="8"/>
  <c r="CM133" i="8" s="1"/>
  <c r="BP133" i="8"/>
  <c r="BN133" i="8"/>
  <c r="BI133" i="8"/>
  <c r="BH133" i="8"/>
  <c r="BF133" i="8"/>
  <c r="AV133" i="8"/>
  <c r="AU133" i="8"/>
  <c r="AS133" i="8"/>
  <c r="AN133" i="8"/>
  <c r="AM133" i="8"/>
  <c r="AK133" i="8"/>
  <c r="AG133" i="8"/>
  <c r="AF133" i="8"/>
  <c r="AE133" i="8"/>
  <c r="AD133" i="8"/>
  <c r="AC133" i="8"/>
  <c r="AA133" i="8"/>
  <c r="Z133" i="8"/>
  <c r="Y133" i="8"/>
  <c r="X133" i="8"/>
  <c r="W133" i="8"/>
  <c r="V133" i="8"/>
  <c r="U133" i="8"/>
  <c r="T133" i="8"/>
  <c r="S133" i="8"/>
  <c r="CO127" i="8"/>
  <c r="CN127" i="8"/>
  <c r="CM127" i="8"/>
  <c r="CL127" i="8"/>
  <c r="CF127" i="8"/>
  <c r="CA127" i="8"/>
  <c r="BP127" i="8"/>
  <c r="BN127" i="8"/>
  <c r="BI127" i="8"/>
  <c r="BH127" i="8"/>
  <c r="BF127" i="8"/>
  <c r="BC127" i="8"/>
  <c r="AV127" i="8"/>
  <c r="AU127" i="8"/>
  <c r="AS127" i="8"/>
  <c r="AN127" i="8"/>
  <c r="AM127" i="8"/>
  <c r="AK127" i="8"/>
  <c r="AH127" i="8"/>
  <c r="BG127" i="8" s="1"/>
  <c r="BL127" i="8" s="1"/>
  <c r="AG127" i="8"/>
  <c r="AF127" i="8"/>
  <c r="AE127" i="8"/>
  <c r="AD127" i="8"/>
  <c r="AC127" i="8"/>
  <c r="AB127" i="8"/>
  <c r="AJ127" i="8" s="1"/>
  <c r="AO127" i="8" s="1"/>
  <c r="AP127" i="8" s="1"/>
  <c r="AA127" i="8"/>
  <c r="Z127" i="8"/>
  <c r="Y127" i="8"/>
  <c r="X127" i="8"/>
  <c r="W127" i="8"/>
  <c r="V127" i="8"/>
  <c r="U127" i="8"/>
  <c r="T127" i="8"/>
  <c r="S127" i="8"/>
  <c r="CO126" i="8"/>
  <c r="CN126" i="8"/>
  <c r="CM126" i="8"/>
  <c r="CL126" i="8"/>
  <c r="CF126" i="8"/>
  <c r="CA126" i="8"/>
  <c r="BP126" i="8"/>
  <c r="BN126" i="8"/>
  <c r="BI126" i="8"/>
  <c r="BH126" i="8"/>
  <c r="BF126" i="8"/>
  <c r="BC126" i="8"/>
  <c r="AV126" i="8"/>
  <c r="AU126" i="8"/>
  <c r="AS126" i="8"/>
  <c r="AN126" i="8"/>
  <c r="AM126" i="8"/>
  <c r="AK126" i="8"/>
  <c r="AJ126" i="8"/>
  <c r="AO126" i="8" s="1"/>
  <c r="AP126" i="8" s="1"/>
  <c r="BW126" i="8" s="1"/>
  <c r="AH126" i="8"/>
  <c r="AG126" i="8"/>
  <c r="AF126" i="8"/>
  <c r="AE126" i="8"/>
  <c r="AD126" i="8"/>
  <c r="AC126" i="8"/>
  <c r="AB126" i="8"/>
  <c r="AA126" i="8"/>
  <c r="Z126" i="8"/>
  <c r="Y126" i="8"/>
  <c r="X126" i="8"/>
  <c r="W126" i="8"/>
  <c r="V126" i="8"/>
  <c r="U126" i="8"/>
  <c r="T126" i="8"/>
  <c r="S126" i="8"/>
  <c r="CO125" i="8"/>
  <c r="CN125" i="8"/>
  <c r="CM125" i="8"/>
  <c r="CL125" i="8"/>
  <c r="CF125" i="8"/>
  <c r="CA125" i="8"/>
  <c r="BP125" i="8"/>
  <c r="BN125" i="8"/>
  <c r="BI125" i="8"/>
  <c r="BH125" i="8"/>
  <c r="BF125" i="8"/>
  <c r="BC125" i="8"/>
  <c r="AV125" i="8"/>
  <c r="AU125" i="8"/>
  <c r="AS125" i="8"/>
  <c r="AN125" i="8"/>
  <c r="AM125" i="8"/>
  <c r="AK125" i="8"/>
  <c r="AH125" i="8"/>
  <c r="BG125" i="8" s="1"/>
  <c r="BL125" i="8" s="1"/>
  <c r="AG125" i="8"/>
  <c r="AF125" i="8"/>
  <c r="AE125" i="8"/>
  <c r="AD125" i="8"/>
  <c r="AC125" i="8"/>
  <c r="AB125" i="8"/>
  <c r="AA125" i="8"/>
  <c r="Z125" i="8"/>
  <c r="Y125" i="8"/>
  <c r="X125" i="8"/>
  <c r="W125" i="8"/>
  <c r="V125" i="8"/>
  <c r="U125" i="8"/>
  <c r="T125" i="8"/>
  <c r="S125" i="8"/>
  <c r="CO124" i="8"/>
  <c r="CN124" i="8"/>
  <c r="CM124" i="8"/>
  <c r="CL124" i="8"/>
  <c r="CF124" i="8"/>
  <c r="CA124" i="8"/>
  <c r="BP124" i="8"/>
  <c r="BN124" i="8"/>
  <c r="BI124" i="8"/>
  <c r="BH124" i="8"/>
  <c r="BF124" i="8"/>
  <c r="BC124" i="8"/>
  <c r="AV124" i="8"/>
  <c r="AU124" i="8"/>
  <c r="AS124" i="8"/>
  <c r="AN124" i="8"/>
  <c r="AM124" i="8"/>
  <c r="AK124" i="8"/>
  <c r="AH124" i="8"/>
  <c r="BE124" i="8" s="1"/>
  <c r="BJ124" i="8" s="1"/>
  <c r="BK124" i="8" s="1"/>
  <c r="AG124" i="8"/>
  <c r="AF124" i="8"/>
  <c r="AE124" i="8"/>
  <c r="AD124" i="8"/>
  <c r="AC124" i="8"/>
  <c r="AB124" i="8"/>
  <c r="AT124" i="8" s="1"/>
  <c r="AW124" i="8" s="1"/>
  <c r="AX124" i="8" s="1"/>
  <c r="AA124" i="8"/>
  <c r="Z124" i="8"/>
  <c r="Y124" i="8"/>
  <c r="X124" i="8"/>
  <c r="W124" i="8"/>
  <c r="V124" i="8"/>
  <c r="U124" i="8"/>
  <c r="T124" i="8"/>
  <c r="S124" i="8"/>
  <c r="CO123" i="8"/>
  <c r="CN123" i="8"/>
  <c r="CM123" i="8"/>
  <c r="CL123" i="8"/>
  <c r="CF123" i="8"/>
  <c r="CA123" i="8"/>
  <c r="BP123" i="8"/>
  <c r="BN123" i="8"/>
  <c r="BI123" i="8"/>
  <c r="BH123" i="8"/>
  <c r="BF123" i="8"/>
  <c r="BC123" i="8"/>
  <c r="AV123" i="8"/>
  <c r="AU123" i="8"/>
  <c r="AS123" i="8"/>
  <c r="AN123" i="8"/>
  <c r="AM123" i="8"/>
  <c r="AK123" i="8"/>
  <c r="AJ123" i="8"/>
  <c r="AO123" i="8" s="1"/>
  <c r="AP123" i="8" s="1"/>
  <c r="BA123" i="8" s="1"/>
  <c r="AH123" i="8"/>
  <c r="BG123" i="8" s="1"/>
  <c r="BL123" i="8" s="1"/>
  <c r="AG123" i="8"/>
  <c r="AF123" i="8"/>
  <c r="AE123" i="8"/>
  <c r="AD123" i="8"/>
  <c r="AC123" i="8"/>
  <c r="AB123" i="8"/>
  <c r="AT123" i="8" s="1"/>
  <c r="AW123" i="8" s="1"/>
  <c r="AX123" i="8" s="1"/>
  <c r="AA123" i="8"/>
  <c r="Z123" i="8"/>
  <c r="Y123" i="8"/>
  <c r="X123" i="8"/>
  <c r="W123" i="8"/>
  <c r="V123" i="8"/>
  <c r="U123" i="8"/>
  <c r="T123" i="8"/>
  <c r="S123" i="8"/>
  <c r="CO122" i="8"/>
  <c r="CN122" i="8"/>
  <c r="CM122" i="8"/>
  <c r="CL122" i="8"/>
  <c r="CF122" i="8"/>
  <c r="CA122" i="8"/>
  <c r="BP122" i="8"/>
  <c r="BN122" i="8"/>
  <c r="BJ122" i="8"/>
  <c r="BK122" i="8" s="1"/>
  <c r="BI122" i="8"/>
  <c r="BH122" i="8"/>
  <c r="BF122" i="8"/>
  <c r="BC122" i="8"/>
  <c r="AV122" i="8"/>
  <c r="AU122" i="8"/>
  <c r="AS122" i="8"/>
  <c r="AN122" i="8"/>
  <c r="AM122" i="8"/>
  <c r="AK122" i="8"/>
  <c r="AH122" i="8"/>
  <c r="BE122" i="8" s="1"/>
  <c r="AG122" i="8"/>
  <c r="AF122" i="8"/>
  <c r="AE122" i="8"/>
  <c r="AD122" i="8"/>
  <c r="AC122" i="8"/>
  <c r="AB122" i="8"/>
  <c r="AA122" i="8"/>
  <c r="Z122" i="8"/>
  <c r="Y122" i="8"/>
  <c r="X122" i="8"/>
  <c r="W122" i="8"/>
  <c r="V122" i="8"/>
  <c r="U122" i="8"/>
  <c r="T122" i="8"/>
  <c r="S122" i="8"/>
  <c r="CO121" i="8"/>
  <c r="CN121" i="8"/>
  <c r="CM121" i="8"/>
  <c r="CL121" i="8"/>
  <c r="CF121" i="8"/>
  <c r="CA121" i="8"/>
  <c r="BP121" i="8"/>
  <c r="BN121" i="8"/>
  <c r="BI121" i="8"/>
  <c r="BH121" i="8"/>
  <c r="BF121" i="8"/>
  <c r="BC121" i="8"/>
  <c r="AV121" i="8"/>
  <c r="AU121" i="8"/>
  <c r="AS121" i="8"/>
  <c r="AN121" i="8"/>
  <c r="AM121" i="8"/>
  <c r="AK121" i="8"/>
  <c r="AH121" i="8"/>
  <c r="AG121" i="8"/>
  <c r="AF121" i="8"/>
  <c r="AE121" i="8"/>
  <c r="AD121" i="8"/>
  <c r="AC121" i="8"/>
  <c r="AB121" i="8"/>
  <c r="AJ121" i="8" s="1"/>
  <c r="AO121" i="8" s="1"/>
  <c r="AP121" i="8" s="1"/>
  <c r="AA121" i="8"/>
  <c r="Z121" i="8"/>
  <c r="Y121" i="8"/>
  <c r="X121" i="8"/>
  <c r="W121" i="8"/>
  <c r="V121" i="8"/>
  <c r="U121" i="8"/>
  <c r="T121" i="8"/>
  <c r="S121" i="8"/>
  <c r="CO120" i="8"/>
  <c r="CN120" i="8"/>
  <c r="CM120" i="8"/>
  <c r="CL120" i="8"/>
  <c r="CF120" i="8"/>
  <c r="CA120" i="8"/>
  <c r="BP120" i="8"/>
  <c r="BN120" i="8"/>
  <c r="BI120" i="8"/>
  <c r="BH120" i="8"/>
  <c r="BF120" i="8"/>
  <c r="BC120" i="8"/>
  <c r="AV120" i="8"/>
  <c r="AU120" i="8"/>
  <c r="AS120" i="8"/>
  <c r="AN120" i="8"/>
  <c r="AM120" i="8"/>
  <c r="AK120" i="8"/>
  <c r="AJ120" i="8"/>
  <c r="AO120" i="8" s="1"/>
  <c r="AP120" i="8" s="1"/>
  <c r="BW120" i="8" s="1"/>
  <c r="AH120" i="8"/>
  <c r="AG120" i="8"/>
  <c r="AF120" i="8"/>
  <c r="AE120" i="8"/>
  <c r="AD120" i="8"/>
  <c r="AC120" i="8"/>
  <c r="AB120" i="8"/>
  <c r="AT120" i="8" s="1"/>
  <c r="AW120" i="8" s="1"/>
  <c r="AX120" i="8" s="1"/>
  <c r="AA120" i="8"/>
  <c r="Z120" i="8"/>
  <c r="Y120" i="8"/>
  <c r="X120" i="8"/>
  <c r="W120" i="8"/>
  <c r="V120" i="8"/>
  <c r="U120" i="8"/>
  <c r="T120" i="8"/>
  <c r="S120" i="8"/>
  <c r="CO119" i="8"/>
  <c r="CN119" i="8"/>
  <c r="CM119" i="8"/>
  <c r="CL119" i="8"/>
  <c r="CF119" i="8"/>
  <c r="CA119" i="8"/>
  <c r="BP119" i="8"/>
  <c r="BN119" i="8"/>
  <c r="BI119" i="8"/>
  <c r="BH119" i="8"/>
  <c r="BF119" i="8"/>
  <c r="BC119" i="8"/>
  <c r="AV119" i="8"/>
  <c r="AU119" i="8"/>
  <c r="AS119" i="8"/>
  <c r="AN119" i="8"/>
  <c r="AM119" i="8"/>
  <c r="AK119" i="8"/>
  <c r="AH119" i="8"/>
  <c r="BG119" i="8" s="1"/>
  <c r="BL119" i="8" s="1"/>
  <c r="AG119" i="8"/>
  <c r="AF119" i="8"/>
  <c r="AE119" i="8"/>
  <c r="AD119" i="8"/>
  <c r="AC119" i="8"/>
  <c r="AB119" i="8"/>
  <c r="AJ119" i="8" s="1"/>
  <c r="AO119" i="8" s="1"/>
  <c r="AP119" i="8" s="1"/>
  <c r="AA119" i="8"/>
  <c r="Z119" i="8"/>
  <c r="Y119" i="8"/>
  <c r="X119" i="8"/>
  <c r="W119" i="8"/>
  <c r="V119" i="8"/>
  <c r="U119" i="8"/>
  <c r="T119" i="8"/>
  <c r="S119" i="8"/>
  <c r="CO118" i="8"/>
  <c r="CN118" i="8"/>
  <c r="CM118" i="8"/>
  <c r="CL118" i="8"/>
  <c r="CF118" i="8"/>
  <c r="CA118" i="8"/>
  <c r="BP118" i="8"/>
  <c r="BN118" i="8"/>
  <c r="BI118" i="8"/>
  <c r="BH118" i="8"/>
  <c r="BF118" i="8"/>
  <c r="BC118" i="8"/>
  <c r="AV118" i="8"/>
  <c r="AU118" i="8"/>
  <c r="AS118" i="8"/>
  <c r="AN118" i="8"/>
  <c r="AM118" i="8"/>
  <c r="AK118" i="8"/>
  <c r="AJ118" i="8"/>
  <c r="AO118" i="8" s="1"/>
  <c r="AP118" i="8" s="1"/>
  <c r="BW118" i="8" s="1"/>
  <c r="AH118" i="8"/>
  <c r="AG118" i="8"/>
  <c r="AF118" i="8"/>
  <c r="AE118" i="8"/>
  <c r="AD118" i="8"/>
  <c r="AC118" i="8"/>
  <c r="AB118" i="8"/>
  <c r="AT118" i="8" s="1"/>
  <c r="AW118" i="8" s="1"/>
  <c r="AX118" i="8" s="1"/>
  <c r="AA118" i="8"/>
  <c r="Z118" i="8"/>
  <c r="Y118" i="8"/>
  <c r="X118" i="8"/>
  <c r="W118" i="8"/>
  <c r="V118" i="8"/>
  <c r="U118" i="8"/>
  <c r="T118" i="8"/>
  <c r="S118" i="8"/>
  <c r="CO117" i="8"/>
  <c r="CN117" i="8"/>
  <c r="CM117" i="8"/>
  <c r="CL117" i="8"/>
  <c r="CF117" i="8"/>
  <c r="CA117" i="8"/>
  <c r="BP117" i="8"/>
  <c r="BN117" i="8"/>
  <c r="BI117" i="8"/>
  <c r="BH117" i="8"/>
  <c r="BF117" i="8"/>
  <c r="BC117" i="8"/>
  <c r="AV117" i="8"/>
  <c r="AU117" i="8"/>
  <c r="AS117" i="8"/>
  <c r="AN117" i="8"/>
  <c r="AM117" i="8"/>
  <c r="AK117" i="8"/>
  <c r="AJ117" i="8"/>
  <c r="AO117" i="8" s="1"/>
  <c r="AP117" i="8" s="1"/>
  <c r="AH117" i="8"/>
  <c r="BE117" i="8" s="1"/>
  <c r="BJ117" i="8" s="1"/>
  <c r="BK117" i="8" s="1"/>
  <c r="AG117" i="8"/>
  <c r="AF117" i="8"/>
  <c r="AE117" i="8"/>
  <c r="AD117" i="8"/>
  <c r="AC117" i="8"/>
  <c r="AB117" i="8"/>
  <c r="AA117" i="8"/>
  <c r="Z117" i="8"/>
  <c r="Y117" i="8"/>
  <c r="X117" i="8"/>
  <c r="W117" i="8"/>
  <c r="V117" i="8"/>
  <c r="U117" i="8"/>
  <c r="T117" i="8"/>
  <c r="S117" i="8"/>
  <c r="CO116" i="8"/>
  <c r="CN116" i="8"/>
  <c r="CM116" i="8"/>
  <c r="CL116" i="8"/>
  <c r="CF116" i="8"/>
  <c r="CA116" i="8"/>
  <c r="BP116" i="8"/>
  <c r="BN116" i="8"/>
  <c r="BI116" i="8"/>
  <c r="BH116" i="8"/>
  <c r="BF116" i="8"/>
  <c r="BC116" i="8"/>
  <c r="AV116" i="8"/>
  <c r="AU116" i="8"/>
  <c r="AS116" i="8"/>
  <c r="AN116" i="8"/>
  <c r="AM116" i="8"/>
  <c r="AK116" i="8"/>
  <c r="AH116" i="8"/>
  <c r="BE116" i="8" s="1"/>
  <c r="BJ116" i="8" s="1"/>
  <c r="BK116" i="8" s="1"/>
  <c r="BU116" i="8" s="1"/>
  <c r="AG116" i="8"/>
  <c r="AF116" i="8"/>
  <c r="AE116" i="8"/>
  <c r="AD116" i="8"/>
  <c r="AC116" i="8"/>
  <c r="AB116" i="8"/>
  <c r="AA116" i="8"/>
  <c r="Z116" i="8"/>
  <c r="Y116" i="8"/>
  <c r="X116" i="8"/>
  <c r="W116" i="8"/>
  <c r="V116" i="8"/>
  <c r="U116" i="8"/>
  <c r="T116" i="8"/>
  <c r="S116" i="8"/>
  <c r="CO115" i="8"/>
  <c r="CN115" i="8"/>
  <c r="CM115" i="8"/>
  <c r="CL115" i="8"/>
  <c r="CF115" i="8"/>
  <c r="CA115" i="8"/>
  <c r="BP115" i="8"/>
  <c r="BN115" i="8"/>
  <c r="BI115" i="8"/>
  <c r="BH115" i="8"/>
  <c r="BF115" i="8"/>
  <c r="BC115" i="8"/>
  <c r="AV115" i="8"/>
  <c r="AU115" i="8"/>
  <c r="AS115" i="8"/>
  <c r="AN115" i="8"/>
  <c r="AM115" i="8"/>
  <c r="AK115" i="8"/>
  <c r="AH115" i="8"/>
  <c r="BE115" i="8" s="1"/>
  <c r="BJ115" i="8" s="1"/>
  <c r="BK115" i="8" s="1"/>
  <c r="AG115" i="8"/>
  <c r="AF115" i="8"/>
  <c r="AE115" i="8"/>
  <c r="AD115" i="8"/>
  <c r="AC115" i="8"/>
  <c r="AB115" i="8"/>
  <c r="AJ115" i="8" s="1"/>
  <c r="AO115" i="8" s="1"/>
  <c r="AP115" i="8" s="1"/>
  <c r="BW115" i="8" s="1"/>
  <c r="AA115" i="8"/>
  <c r="Z115" i="8"/>
  <c r="Y115" i="8"/>
  <c r="X115" i="8"/>
  <c r="W115" i="8"/>
  <c r="V115" i="8"/>
  <c r="U115" i="8"/>
  <c r="T115" i="8"/>
  <c r="S115" i="8"/>
  <c r="CO114" i="8"/>
  <c r="CN114" i="8"/>
  <c r="CM114" i="8"/>
  <c r="CL114" i="8"/>
  <c r="CF114" i="8"/>
  <c r="CA114" i="8"/>
  <c r="BP114" i="8"/>
  <c r="BN114" i="8"/>
  <c r="BI114" i="8"/>
  <c r="BH114" i="8"/>
  <c r="BF114" i="8"/>
  <c r="BC114" i="8"/>
  <c r="AV114" i="8"/>
  <c r="AU114" i="8"/>
  <c r="AS114" i="8"/>
  <c r="AN114" i="8"/>
  <c r="AM114" i="8"/>
  <c r="AK114" i="8"/>
  <c r="AH114" i="8"/>
  <c r="BE114" i="8" s="1"/>
  <c r="BJ114" i="8" s="1"/>
  <c r="BK114" i="8" s="1"/>
  <c r="AG114" i="8"/>
  <c r="AF114" i="8"/>
  <c r="AE114" i="8"/>
  <c r="AD114" i="8"/>
  <c r="AC114" i="8"/>
  <c r="AB114" i="8"/>
  <c r="AA114" i="8"/>
  <c r="Z114" i="8"/>
  <c r="Y114" i="8"/>
  <c r="X114" i="8"/>
  <c r="W114" i="8"/>
  <c r="V114" i="8"/>
  <c r="U114" i="8"/>
  <c r="T114" i="8"/>
  <c r="S114" i="8"/>
  <c r="CO113" i="8"/>
  <c r="CN113" i="8"/>
  <c r="CM113" i="8"/>
  <c r="CL113" i="8"/>
  <c r="CF113" i="8"/>
  <c r="CA113" i="8"/>
  <c r="BP113" i="8"/>
  <c r="BN113" i="8"/>
  <c r="BI113" i="8"/>
  <c r="BH113" i="8"/>
  <c r="BF113" i="8"/>
  <c r="BC113" i="8"/>
  <c r="AV113" i="8"/>
  <c r="AU113" i="8"/>
  <c r="AS113" i="8"/>
  <c r="AN113" i="8"/>
  <c r="AM113" i="8"/>
  <c r="AK113" i="8"/>
  <c r="AJ113" i="8"/>
  <c r="AO113" i="8" s="1"/>
  <c r="AP113" i="8" s="1"/>
  <c r="AH113" i="8"/>
  <c r="AG113" i="8"/>
  <c r="AF113" i="8"/>
  <c r="AE113" i="8"/>
  <c r="AD113" i="8"/>
  <c r="AC113" i="8"/>
  <c r="AB113" i="8"/>
  <c r="AA113" i="8"/>
  <c r="Z113" i="8"/>
  <c r="Y113" i="8"/>
  <c r="X113" i="8"/>
  <c r="W113" i="8"/>
  <c r="V113" i="8"/>
  <c r="U113" i="8"/>
  <c r="T113" i="8"/>
  <c r="S113" i="8"/>
  <c r="CO112" i="8"/>
  <c r="CN112" i="8"/>
  <c r="CM112" i="8"/>
  <c r="CL112" i="8"/>
  <c r="CF112" i="8"/>
  <c r="CA112" i="8"/>
  <c r="BP112" i="8"/>
  <c r="BN112" i="8"/>
  <c r="BI112" i="8"/>
  <c r="BH112" i="8"/>
  <c r="BF112" i="8"/>
  <c r="BC112" i="8"/>
  <c r="AV112" i="8"/>
  <c r="AU112" i="8"/>
  <c r="AS112" i="8"/>
  <c r="AN112" i="8"/>
  <c r="AM112" i="8"/>
  <c r="AK112" i="8"/>
  <c r="AH112" i="8"/>
  <c r="BE112" i="8" s="1"/>
  <c r="BJ112" i="8" s="1"/>
  <c r="BK112" i="8" s="1"/>
  <c r="AG112" i="8"/>
  <c r="AF112" i="8"/>
  <c r="AE112" i="8"/>
  <c r="AD112" i="8"/>
  <c r="AC112" i="8"/>
  <c r="AB112" i="8"/>
  <c r="AJ112" i="8" s="1"/>
  <c r="AO112" i="8" s="1"/>
  <c r="AP112" i="8" s="1"/>
  <c r="AA112" i="8"/>
  <c r="Z112" i="8"/>
  <c r="Y112" i="8"/>
  <c r="X112" i="8"/>
  <c r="W112" i="8"/>
  <c r="V112" i="8"/>
  <c r="U112" i="8"/>
  <c r="T112" i="8"/>
  <c r="S112" i="8"/>
  <c r="CO111" i="8"/>
  <c r="CN111" i="8"/>
  <c r="CM111" i="8"/>
  <c r="CL111" i="8"/>
  <c r="CF111" i="8"/>
  <c r="CA111" i="8"/>
  <c r="BP111" i="8"/>
  <c r="BN111" i="8"/>
  <c r="BI111" i="8"/>
  <c r="BH111" i="8"/>
  <c r="BF111" i="8"/>
  <c r="BC111" i="8"/>
  <c r="AV111" i="8"/>
  <c r="AU111" i="8"/>
  <c r="AS111" i="8"/>
  <c r="AN111" i="8"/>
  <c r="AM111" i="8"/>
  <c r="AK111" i="8"/>
  <c r="AH111" i="8"/>
  <c r="AG111" i="8"/>
  <c r="AF111" i="8"/>
  <c r="AE111" i="8"/>
  <c r="AD111" i="8"/>
  <c r="AC111" i="8"/>
  <c r="AB111" i="8"/>
  <c r="AT111" i="8" s="1"/>
  <c r="AW111" i="8" s="1"/>
  <c r="AX111" i="8" s="1"/>
  <c r="AA111" i="8"/>
  <c r="Z111" i="8"/>
  <c r="Y111" i="8"/>
  <c r="X111" i="8"/>
  <c r="W111" i="8"/>
  <c r="V111" i="8"/>
  <c r="U111" i="8"/>
  <c r="T111" i="8"/>
  <c r="S111" i="8"/>
  <c r="CO110" i="8"/>
  <c r="CN110" i="8"/>
  <c r="CM110" i="8"/>
  <c r="CL110" i="8"/>
  <c r="CF110" i="8"/>
  <c r="CA110" i="8"/>
  <c r="BP110" i="8"/>
  <c r="BN110" i="8"/>
  <c r="BI110" i="8"/>
  <c r="BH110" i="8"/>
  <c r="BF110" i="8"/>
  <c r="BC110" i="8"/>
  <c r="AV110" i="8"/>
  <c r="AU110" i="8"/>
  <c r="AS110" i="8"/>
  <c r="AN110" i="8"/>
  <c r="AM110" i="8"/>
  <c r="AK110" i="8"/>
  <c r="AH110" i="8"/>
  <c r="BE110" i="8" s="1"/>
  <c r="BJ110" i="8" s="1"/>
  <c r="BK110" i="8" s="1"/>
  <c r="AG110" i="8"/>
  <c r="AF110" i="8"/>
  <c r="AE110" i="8"/>
  <c r="AD110" i="8"/>
  <c r="AC110" i="8"/>
  <c r="AB110" i="8"/>
  <c r="AL110" i="8" s="1"/>
  <c r="AQ110" i="8" s="1"/>
  <c r="AA110" i="8"/>
  <c r="Z110" i="8"/>
  <c r="Y110" i="8"/>
  <c r="X110" i="8"/>
  <c r="W110" i="8"/>
  <c r="V110" i="8"/>
  <c r="U110" i="8"/>
  <c r="T110" i="8"/>
  <c r="S110" i="8"/>
  <c r="CO109" i="8"/>
  <c r="CN109" i="8"/>
  <c r="CM109" i="8"/>
  <c r="CL109" i="8"/>
  <c r="CF109" i="8"/>
  <c r="CA109" i="8"/>
  <c r="BP109" i="8"/>
  <c r="BN109" i="8"/>
  <c r="BI109" i="8"/>
  <c r="BH109" i="8"/>
  <c r="BF109" i="8"/>
  <c r="BC109" i="8"/>
  <c r="AV109" i="8"/>
  <c r="AU109" i="8"/>
  <c r="AS109" i="8"/>
  <c r="AN109" i="8"/>
  <c r="AM109" i="8"/>
  <c r="AK109" i="8"/>
  <c r="AH109" i="8"/>
  <c r="BG109" i="8" s="1"/>
  <c r="BL109" i="8" s="1"/>
  <c r="AG109" i="8"/>
  <c r="AF109" i="8"/>
  <c r="AE109" i="8"/>
  <c r="AD109" i="8"/>
  <c r="AC109" i="8"/>
  <c r="AB109" i="8"/>
  <c r="AJ109" i="8" s="1"/>
  <c r="AO109" i="8" s="1"/>
  <c r="AP109" i="8" s="1"/>
  <c r="BB109" i="8" s="1"/>
  <c r="AA109" i="8"/>
  <c r="Z109" i="8"/>
  <c r="Y109" i="8"/>
  <c r="X109" i="8"/>
  <c r="W109" i="8"/>
  <c r="V109" i="8"/>
  <c r="U109" i="8"/>
  <c r="T109" i="8"/>
  <c r="S109" i="8"/>
  <c r="CO108" i="8"/>
  <c r="CN108" i="8"/>
  <c r="CM108" i="8"/>
  <c r="CL108" i="8"/>
  <c r="CF108" i="8"/>
  <c r="CA108" i="8"/>
  <c r="BP108" i="8"/>
  <c r="BN108" i="8"/>
  <c r="BI108" i="8"/>
  <c r="BH108" i="8"/>
  <c r="BF108" i="8"/>
  <c r="BC108" i="8"/>
  <c r="AV108" i="8"/>
  <c r="AU108" i="8"/>
  <c r="AS108" i="8"/>
  <c r="AN108" i="8"/>
  <c r="AM108" i="8"/>
  <c r="AK108" i="8"/>
  <c r="AH108" i="8"/>
  <c r="AG108" i="8"/>
  <c r="AF108" i="8"/>
  <c r="AE108" i="8"/>
  <c r="AD108" i="8"/>
  <c r="AC108" i="8"/>
  <c r="AB108" i="8"/>
  <c r="AJ108" i="8" s="1"/>
  <c r="AO108" i="8" s="1"/>
  <c r="AP108" i="8" s="1"/>
  <c r="AA108" i="8"/>
  <c r="Z108" i="8"/>
  <c r="Y108" i="8"/>
  <c r="X108" i="8"/>
  <c r="W108" i="8"/>
  <c r="V108" i="8"/>
  <c r="U108" i="8"/>
  <c r="T108" i="8"/>
  <c r="S108" i="8"/>
  <c r="CO107" i="8"/>
  <c r="CN107" i="8"/>
  <c r="CM107" i="8"/>
  <c r="CL107" i="8"/>
  <c r="CF107" i="8"/>
  <c r="CA107" i="8"/>
  <c r="BP107" i="8"/>
  <c r="BN107" i="8"/>
  <c r="BI107" i="8"/>
  <c r="BH107" i="8"/>
  <c r="BF107" i="8"/>
  <c r="BC107" i="8"/>
  <c r="AV107" i="8"/>
  <c r="AU107" i="8"/>
  <c r="AS107" i="8"/>
  <c r="AN107" i="8"/>
  <c r="AM107" i="8"/>
  <c r="AK107" i="8"/>
  <c r="AH107" i="8"/>
  <c r="BG107" i="8" s="1"/>
  <c r="BL107" i="8" s="1"/>
  <c r="AG107" i="8"/>
  <c r="AF107" i="8"/>
  <c r="AE107" i="8"/>
  <c r="AD107" i="8"/>
  <c r="AC107" i="8"/>
  <c r="AB107" i="8"/>
  <c r="AA107" i="8"/>
  <c r="Z107" i="8"/>
  <c r="Y107" i="8"/>
  <c r="X107" i="8"/>
  <c r="W107" i="8"/>
  <c r="V107" i="8"/>
  <c r="U107" i="8"/>
  <c r="T107" i="8"/>
  <c r="S107" i="8"/>
  <c r="CO106" i="8"/>
  <c r="CN106" i="8"/>
  <c r="CM106" i="8"/>
  <c r="CL106" i="8"/>
  <c r="CF106" i="8"/>
  <c r="CA106" i="8"/>
  <c r="BP106" i="8"/>
  <c r="BN106" i="8"/>
  <c r="BI106" i="8"/>
  <c r="BH106" i="8"/>
  <c r="BF106" i="8"/>
  <c r="BC106" i="8"/>
  <c r="AV106" i="8"/>
  <c r="AU106" i="8"/>
  <c r="AS106" i="8"/>
  <c r="AN106" i="8"/>
  <c r="AM106" i="8"/>
  <c r="AK106" i="8"/>
  <c r="AH106" i="8"/>
  <c r="AG106" i="8"/>
  <c r="AF106" i="8"/>
  <c r="AE106" i="8"/>
  <c r="AD106" i="8"/>
  <c r="AC106" i="8"/>
  <c r="AB106" i="8"/>
  <c r="AT106" i="8" s="1"/>
  <c r="AW106" i="8" s="1"/>
  <c r="AX106" i="8" s="1"/>
  <c r="AA106" i="8"/>
  <c r="Z106" i="8"/>
  <c r="Y106" i="8"/>
  <c r="X106" i="8"/>
  <c r="W106" i="8"/>
  <c r="V106" i="8"/>
  <c r="U106" i="8"/>
  <c r="T106" i="8"/>
  <c r="S106" i="8"/>
  <c r="CN105" i="8"/>
  <c r="CO105" i="8" s="1"/>
  <c r="CL105" i="8"/>
  <c r="BP105" i="8"/>
  <c r="BN105" i="8"/>
  <c r="BI105" i="8"/>
  <c r="BH105" i="8"/>
  <c r="BF105" i="8"/>
  <c r="AU105" i="8"/>
  <c r="AS105" i="8"/>
  <c r="AN105" i="8"/>
  <c r="AM105" i="8"/>
  <c r="AK105" i="8"/>
  <c r="AG105" i="8"/>
  <c r="AF105" i="8"/>
  <c r="AE105" i="8"/>
  <c r="AD105" i="8"/>
  <c r="AC105" i="8"/>
  <c r="AA105" i="8"/>
  <c r="Z105" i="8"/>
  <c r="Y105" i="8"/>
  <c r="X105" i="8"/>
  <c r="W105" i="8"/>
  <c r="V105" i="8"/>
  <c r="U105" i="8"/>
  <c r="AV105" i="8" s="1"/>
  <c r="T105" i="8"/>
  <c r="S105" i="8"/>
  <c r="CN104" i="8"/>
  <c r="CL104" i="8"/>
  <c r="BP104" i="8"/>
  <c r="BN104" i="8"/>
  <c r="BI104" i="8"/>
  <c r="BH104" i="8"/>
  <c r="BF104" i="8"/>
  <c r="AU104" i="8"/>
  <c r="AS104" i="8"/>
  <c r="AN104" i="8"/>
  <c r="AM104" i="8"/>
  <c r="AK104" i="8"/>
  <c r="AG104" i="8"/>
  <c r="AF104" i="8"/>
  <c r="AE104" i="8"/>
  <c r="AD104" i="8"/>
  <c r="AC104" i="8"/>
  <c r="AA104" i="8"/>
  <c r="Z104" i="8"/>
  <c r="Y104" i="8"/>
  <c r="X104" i="8"/>
  <c r="W104" i="8"/>
  <c r="V104" i="8"/>
  <c r="U104" i="8"/>
  <c r="AV104" i="8" s="1"/>
  <c r="T104" i="8"/>
  <c r="S104" i="8"/>
  <c r="CN103" i="8"/>
  <c r="CO103" i="8" s="1"/>
  <c r="CL103" i="8"/>
  <c r="CM103" i="8" s="1"/>
  <c r="BP103" i="8"/>
  <c r="BN103" i="8"/>
  <c r="BI103" i="8"/>
  <c r="BH103" i="8"/>
  <c r="BF103" i="8"/>
  <c r="AV103" i="8"/>
  <c r="AU103" i="8"/>
  <c r="AS103" i="8"/>
  <c r="AN103" i="8"/>
  <c r="AM103" i="8"/>
  <c r="AK103" i="8"/>
  <c r="AG103" i="8"/>
  <c r="AF103" i="8"/>
  <c r="AE103" i="8"/>
  <c r="AD103" i="8"/>
  <c r="AC103" i="8"/>
  <c r="AA103" i="8"/>
  <c r="Z103" i="8"/>
  <c r="Y103" i="8"/>
  <c r="X103" i="8"/>
  <c r="W103" i="8"/>
  <c r="V103" i="8"/>
  <c r="U103" i="8"/>
  <c r="T103" i="8"/>
  <c r="S103" i="8"/>
  <c r="CO97" i="8"/>
  <c r="CN97" i="8"/>
  <c r="CM97" i="8"/>
  <c r="CL97" i="8"/>
  <c r="CF97" i="8"/>
  <c r="CA97" i="8"/>
  <c r="BP97" i="8"/>
  <c r="BN97" i="8"/>
  <c r="BI97" i="8"/>
  <c r="BH97" i="8"/>
  <c r="BF97" i="8"/>
  <c r="BC97" i="8"/>
  <c r="AV97" i="8"/>
  <c r="AU97" i="8"/>
  <c r="AS97" i="8"/>
  <c r="AN97" i="8"/>
  <c r="AM97" i="8"/>
  <c r="AK97" i="8"/>
  <c r="AH97" i="8"/>
  <c r="BE97" i="8" s="1"/>
  <c r="BJ97" i="8" s="1"/>
  <c r="BK97" i="8" s="1"/>
  <c r="AG97" i="8"/>
  <c r="AF97" i="8"/>
  <c r="AE97" i="8"/>
  <c r="AD97" i="8"/>
  <c r="AC97" i="8"/>
  <c r="AB97" i="8"/>
  <c r="AT97" i="8" s="1"/>
  <c r="AW97" i="8" s="1"/>
  <c r="AX97" i="8" s="1"/>
  <c r="AA97" i="8"/>
  <c r="Z97" i="8"/>
  <c r="Y97" i="8"/>
  <c r="X97" i="8"/>
  <c r="W97" i="8"/>
  <c r="V97" i="8"/>
  <c r="U97" i="8"/>
  <c r="T97" i="8"/>
  <c r="S97" i="8"/>
  <c r="CO96" i="8"/>
  <c r="CN96" i="8"/>
  <c r="CM96" i="8"/>
  <c r="CL96" i="8"/>
  <c r="CF96" i="8"/>
  <c r="CA96" i="8"/>
  <c r="BP96" i="8"/>
  <c r="BN96" i="8"/>
  <c r="BI96" i="8"/>
  <c r="BH96" i="8"/>
  <c r="BF96" i="8"/>
  <c r="BC96" i="8"/>
  <c r="AV96" i="8"/>
  <c r="AU96" i="8"/>
  <c r="AS96" i="8"/>
  <c r="AN96" i="8"/>
  <c r="AM96" i="8"/>
  <c r="AK96" i="8"/>
  <c r="AH96" i="8"/>
  <c r="BE96" i="8" s="1"/>
  <c r="BJ96" i="8" s="1"/>
  <c r="BK96" i="8" s="1"/>
  <c r="AG96" i="8"/>
  <c r="AF96" i="8"/>
  <c r="AE96" i="8"/>
  <c r="AD96" i="8"/>
  <c r="AC96" i="8"/>
  <c r="AB96" i="8"/>
  <c r="AA96" i="8"/>
  <c r="Z96" i="8"/>
  <c r="Y96" i="8"/>
  <c r="X96" i="8"/>
  <c r="W96" i="8"/>
  <c r="V96" i="8"/>
  <c r="U96" i="8"/>
  <c r="T96" i="8"/>
  <c r="S96" i="8"/>
  <c r="CO95" i="8"/>
  <c r="CN95" i="8"/>
  <c r="CM95" i="8"/>
  <c r="CL95" i="8"/>
  <c r="CF95" i="8"/>
  <c r="CA95" i="8"/>
  <c r="BP95" i="8"/>
  <c r="BN95" i="8"/>
  <c r="BI95" i="8"/>
  <c r="BH95" i="8"/>
  <c r="BF95" i="8"/>
  <c r="BC95" i="8"/>
  <c r="AV95" i="8"/>
  <c r="AU95" i="8"/>
  <c r="AS95" i="8"/>
  <c r="AN95" i="8"/>
  <c r="AM95" i="8"/>
  <c r="AK95" i="8"/>
  <c r="AH95" i="8"/>
  <c r="BE95" i="8" s="1"/>
  <c r="BJ95" i="8" s="1"/>
  <c r="BK95" i="8" s="1"/>
  <c r="AG95" i="8"/>
  <c r="AF95" i="8"/>
  <c r="AE95" i="8"/>
  <c r="AD95" i="8"/>
  <c r="AC95" i="8"/>
  <c r="AB95" i="8"/>
  <c r="AT95" i="8" s="1"/>
  <c r="AW95" i="8" s="1"/>
  <c r="AX95" i="8" s="1"/>
  <c r="AA95" i="8"/>
  <c r="Z95" i="8"/>
  <c r="Y95" i="8"/>
  <c r="X95" i="8"/>
  <c r="W95" i="8"/>
  <c r="V95" i="8"/>
  <c r="U95" i="8"/>
  <c r="T95" i="8"/>
  <c r="S95" i="8"/>
  <c r="CO94" i="8"/>
  <c r="CN94" i="8"/>
  <c r="CM94" i="8"/>
  <c r="CL94" i="8"/>
  <c r="CF94" i="8"/>
  <c r="CA94" i="8"/>
  <c r="BP94" i="8"/>
  <c r="BN94" i="8"/>
  <c r="BI94" i="8"/>
  <c r="BH94" i="8"/>
  <c r="BF94" i="8"/>
  <c r="BC94" i="8"/>
  <c r="AV94" i="8"/>
  <c r="AU94" i="8"/>
  <c r="AS94" i="8"/>
  <c r="AN94" i="8"/>
  <c r="AM94" i="8"/>
  <c r="AK94" i="8"/>
  <c r="AH94" i="8"/>
  <c r="BE94" i="8" s="1"/>
  <c r="BJ94" i="8" s="1"/>
  <c r="BK94" i="8" s="1"/>
  <c r="BT94" i="8" s="1"/>
  <c r="AG94" i="8"/>
  <c r="AF94" i="8"/>
  <c r="AE94" i="8"/>
  <c r="AD94" i="8"/>
  <c r="AC94" i="8"/>
  <c r="AB94" i="8"/>
  <c r="AJ94" i="8" s="1"/>
  <c r="AO94" i="8" s="1"/>
  <c r="AP94" i="8" s="1"/>
  <c r="AA94" i="8"/>
  <c r="Z94" i="8"/>
  <c r="Y94" i="8"/>
  <c r="X94" i="8"/>
  <c r="W94" i="8"/>
  <c r="V94" i="8"/>
  <c r="U94" i="8"/>
  <c r="T94" i="8"/>
  <c r="S94" i="8"/>
  <c r="CO93" i="8"/>
  <c r="CN93" i="8"/>
  <c r="CM93" i="8"/>
  <c r="CL93" i="8"/>
  <c r="CF93" i="8"/>
  <c r="CA93" i="8"/>
  <c r="BP93" i="8"/>
  <c r="BN93" i="8"/>
  <c r="BI93" i="8"/>
  <c r="BH93" i="8"/>
  <c r="BF93" i="8"/>
  <c r="BC93" i="8"/>
  <c r="AV93" i="8"/>
  <c r="AU93" i="8"/>
  <c r="AS93" i="8"/>
  <c r="AN93" i="8"/>
  <c r="AM93" i="8"/>
  <c r="AK93" i="8"/>
  <c r="AH93" i="8"/>
  <c r="BE93" i="8" s="1"/>
  <c r="BJ93" i="8" s="1"/>
  <c r="BK93" i="8" s="1"/>
  <c r="BU93" i="8" s="1"/>
  <c r="AG93" i="8"/>
  <c r="AF93" i="8"/>
  <c r="AE93" i="8"/>
  <c r="AD93" i="8"/>
  <c r="AC93" i="8"/>
  <c r="AB93" i="8"/>
  <c r="AT93" i="8" s="1"/>
  <c r="AW93" i="8" s="1"/>
  <c r="AX93" i="8" s="1"/>
  <c r="AA93" i="8"/>
  <c r="Z93" i="8"/>
  <c r="Y93" i="8"/>
  <c r="X93" i="8"/>
  <c r="W93" i="8"/>
  <c r="V93" i="8"/>
  <c r="U93" i="8"/>
  <c r="T93" i="8"/>
  <c r="S93" i="8"/>
  <c r="CO92" i="8"/>
  <c r="CN92" i="8"/>
  <c r="CM92" i="8"/>
  <c r="CL92" i="8"/>
  <c r="CF92" i="8"/>
  <c r="CA92" i="8"/>
  <c r="BP92" i="8"/>
  <c r="BN92" i="8"/>
  <c r="BI92" i="8"/>
  <c r="BH92" i="8"/>
  <c r="BF92" i="8"/>
  <c r="BC92" i="8"/>
  <c r="AV92" i="8"/>
  <c r="AU92" i="8"/>
  <c r="AS92" i="8"/>
  <c r="AN92" i="8"/>
  <c r="AM92" i="8"/>
  <c r="AK92" i="8"/>
  <c r="AH92" i="8"/>
  <c r="BE92" i="8" s="1"/>
  <c r="BJ92" i="8" s="1"/>
  <c r="BK92" i="8" s="1"/>
  <c r="AG92" i="8"/>
  <c r="AF92" i="8"/>
  <c r="AE92" i="8"/>
  <c r="AD92" i="8"/>
  <c r="AC92" i="8"/>
  <c r="AB92" i="8"/>
  <c r="AA92" i="8"/>
  <c r="Z92" i="8"/>
  <c r="Y92" i="8"/>
  <c r="X92" i="8"/>
  <c r="W92" i="8"/>
  <c r="V92" i="8"/>
  <c r="U92" i="8"/>
  <c r="T92" i="8"/>
  <c r="S92" i="8"/>
  <c r="CO91" i="8"/>
  <c r="CN91" i="8"/>
  <c r="CM91" i="8"/>
  <c r="CL91" i="8"/>
  <c r="CF91" i="8"/>
  <c r="CA91" i="8"/>
  <c r="BP91" i="8"/>
  <c r="BN91" i="8"/>
  <c r="BI91" i="8"/>
  <c r="BH91" i="8"/>
  <c r="BF91" i="8"/>
  <c r="BC91" i="8"/>
  <c r="AV91" i="8"/>
  <c r="AU91" i="8"/>
  <c r="AS91" i="8"/>
  <c r="AN91" i="8"/>
  <c r="AM91" i="8"/>
  <c r="AK91" i="8"/>
  <c r="AH91" i="8"/>
  <c r="BE91" i="8" s="1"/>
  <c r="BJ91" i="8" s="1"/>
  <c r="BK91" i="8" s="1"/>
  <c r="BU91" i="8" s="1"/>
  <c r="AG91" i="8"/>
  <c r="AF91" i="8"/>
  <c r="AE91" i="8"/>
  <c r="AD91" i="8"/>
  <c r="AC91" i="8"/>
  <c r="AB91" i="8"/>
  <c r="AT91" i="8" s="1"/>
  <c r="AW91" i="8" s="1"/>
  <c r="AX91" i="8" s="1"/>
  <c r="AA91" i="8"/>
  <c r="Z91" i="8"/>
  <c r="Y91" i="8"/>
  <c r="X91" i="8"/>
  <c r="W91" i="8"/>
  <c r="V91" i="8"/>
  <c r="U91" i="8"/>
  <c r="T91" i="8"/>
  <c r="S91" i="8"/>
  <c r="CO90" i="8"/>
  <c r="CN90" i="8"/>
  <c r="CM90" i="8"/>
  <c r="CL90" i="8"/>
  <c r="CF90" i="8"/>
  <c r="CA90" i="8"/>
  <c r="BP90" i="8"/>
  <c r="BN90" i="8"/>
  <c r="BI90" i="8"/>
  <c r="BH90" i="8"/>
  <c r="BF90" i="8"/>
  <c r="BC90" i="8"/>
  <c r="AV90" i="8"/>
  <c r="AU90" i="8"/>
  <c r="AS90" i="8"/>
  <c r="AN90" i="8"/>
  <c r="AM90" i="8"/>
  <c r="AK90" i="8"/>
  <c r="AH90" i="8"/>
  <c r="BO90" i="8" s="1"/>
  <c r="BQ90" i="8" s="1"/>
  <c r="BR90" i="8" s="1"/>
  <c r="AG90" i="8"/>
  <c r="AF90" i="8"/>
  <c r="AE90" i="8"/>
  <c r="AD90" i="8"/>
  <c r="AC90" i="8"/>
  <c r="AB90" i="8"/>
  <c r="AJ90" i="8" s="1"/>
  <c r="AO90" i="8" s="1"/>
  <c r="AP90" i="8" s="1"/>
  <c r="AA90" i="8"/>
  <c r="Z90" i="8"/>
  <c r="Y90" i="8"/>
  <c r="X90" i="8"/>
  <c r="W90" i="8"/>
  <c r="V90" i="8"/>
  <c r="U90" i="8"/>
  <c r="T90" i="8"/>
  <c r="S90" i="8"/>
  <c r="CO89" i="8"/>
  <c r="CN89" i="8"/>
  <c r="CM89" i="8"/>
  <c r="CL89" i="8"/>
  <c r="CF89" i="8"/>
  <c r="CA89" i="8"/>
  <c r="BP89" i="8"/>
  <c r="BN89" i="8"/>
  <c r="BI89" i="8"/>
  <c r="BH89" i="8"/>
  <c r="BF89" i="8"/>
  <c r="BC89" i="8"/>
  <c r="AV89" i="8"/>
  <c r="AU89" i="8"/>
  <c r="AS89" i="8"/>
  <c r="AN89" i="8"/>
  <c r="AM89" i="8"/>
  <c r="AK89" i="8"/>
  <c r="AH89" i="8"/>
  <c r="BE89" i="8" s="1"/>
  <c r="BJ89" i="8" s="1"/>
  <c r="BK89" i="8" s="1"/>
  <c r="BU89" i="8" s="1"/>
  <c r="AG89" i="8"/>
  <c r="AF89" i="8"/>
  <c r="AE89" i="8"/>
  <c r="AD89" i="8"/>
  <c r="AC89" i="8"/>
  <c r="AB89" i="8"/>
  <c r="AT89" i="8" s="1"/>
  <c r="AW89" i="8" s="1"/>
  <c r="AX89" i="8" s="1"/>
  <c r="AA89" i="8"/>
  <c r="Z89" i="8"/>
  <c r="Y89" i="8"/>
  <c r="X89" i="8"/>
  <c r="W89" i="8"/>
  <c r="V89" i="8"/>
  <c r="U89" i="8"/>
  <c r="T89" i="8"/>
  <c r="S89" i="8"/>
  <c r="CO88" i="8"/>
  <c r="CN88" i="8"/>
  <c r="CM88" i="8"/>
  <c r="CL88" i="8"/>
  <c r="CF88" i="8"/>
  <c r="CA88" i="8"/>
  <c r="BP88" i="8"/>
  <c r="BN88" i="8"/>
  <c r="BI88" i="8"/>
  <c r="BH88" i="8"/>
  <c r="BF88" i="8"/>
  <c r="BC88" i="8"/>
  <c r="AV88" i="8"/>
  <c r="AU88" i="8"/>
  <c r="AS88" i="8"/>
  <c r="AN88" i="8"/>
  <c r="AM88" i="8"/>
  <c r="AK88" i="8"/>
  <c r="AH88" i="8"/>
  <c r="AG88" i="8"/>
  <c r="AF88" i="8"/>
  <c r="AE88" i="8"/>
  <c r="AD88" i="8"/>
  <c r="AC88" i="8"/>
  <c r="AB88" i="8"/>
  <c r="AJ88" i="8" s="1"/>
  <c r="AO88" i="8" s="1"/>
  <c r="AP88" i="8" s="1"/>
  <c r="AA88" i="8"/>
  <c r="Z88" i="8"/>
  <c r="Y88" i="8"/>
  <c r="X88" i="8"/>
  <c r="W88" i="8"/>
  <c r="V88" i="8"/>
  <c r="U88" i="8"/>
  <c r="T88" i="8"/>
  <c r="S88" i="8"/>
  <c r="CO87" i="8"/>
  <c r="CN87" i="8"/>
  <c r="CM87" i="8"/>
  <c r="CL87" i="8"/>
  <c r="CF87" i="8"/>
  <c r="CA87" i="8"/>
  <c r="BP87" i="8"/>
  <c r="BN87" i="8"/>
  <c r="BI87" i="8"/>
  <c r="BH87" i="8"/>
  <c r="BF87" i="8"/>
  <c r="BC87" i="8"/>
  <c r="AV87" i="8"/>
  <c r="AU87" i="8"/>
  <c r="AS87" i="8"/>
  <c r="AN87" i="8"/>
  <c r="AM87" i="8"/>
  <c r="AK87" i="8"/>
  <c r="AH87" i="8"/>
  <c r="BO87" i="8" s="1"/>
  <c r="BQ87" i="8" s="1"/>
  <c r="BR87" i="8" s="1"/>
  <c r="AG87" i="8"/>
  <c r="AF87" i="8"/>
  <c r="AE87" i="8"/>
  <c r="AD87" i="8"/>
  <c r="AC87" i="8"/>
  <c r="AB87" i="8"/>
  <c r="AJ87" i="8" s="1"/>
  <c r="AO87" i="8" s="1"/>
  <c r="AP87" i="8" s="1"/>
  <c r="BB87" i="8" s="1"/>
  <c r="AA87" i="8"/>
  <c r="Z87" i="8"/>
  <c r="Y87" i="8"/>
  <c r="X87" i="8"/>
  <c r="W87" i="8"/>
  <c r="V87" i="8"/>
  <c r="U87" i="8"/>
  <c r="T87" i="8"/>
  <c r="S87" i="8"/>
  <c r="CO86" i="8"/>
  <c r="CN86" i="8"/>
  <c r="CM86" i="8"/>
  <c r="CL86" i="8"/>
  <c r="CF86" i="8"/>
  <c r="CA86" i="8"/>
  <c r="BP86" i="8"/>
  <c r="BN86" i="8"/>
  <c r="BI86" i="8"/>
  <c r="BH86" i="8"/>
  <c r="BF86" i="8"/>
  <c r="BC86" i="8"/>
  <c r="AV86" i="8"/>
  <c r="AU86" i="8"/>
  <c r="AS86" i="8"/>
  <c r="AN86" i="8"/>
  <c r="AM86" i="8"/>
  <c r="AK86" i="8"/>
  <c r="AH86" i="8"/>
  <c r="AG86" i="8"/>
  <c r="AF86" i="8"/>
  <c r="AE86" i="8"/>
  <c r="AD86" i="8"/>
  <c r="AC86" i="8"/>
  <c r="AB86" i="8"/>
  <c r="AJ86" i="8" s="1"/>
  <c r="AO86" i="8" s="1"/>
  <c r="AP86" i="8" s="1"/>
  <c r="AA86" i="8"/>
  <c r="Z86" i="8"/>
  <c r="Y86" i="8"/>
  <c r="X86" i="8"/>
  <c r="W86" i="8"/>
  <c r="V86" i="8"/>
  <c r="U86" i="8"/>
  <c r="T86" i="8"/>
  <c r="S86" i="8"/>
  <c r="CO85" i="8"/>
  <c r="CN85" i="8"/>
  <c r="CM85" i="8"/>
  <c r="CL85" i="8"/>
  <c r="CF85" i="8"/>
  <c r="CA85" i="8"/>
  <c r="BP85" i="8"/>
  <c r="BN85" i="8"/>
  <c r="BI85" i="8"/>
  <c r="BH85" i="8"/>
  <c r="BF85" i="8"/>
  <c r="BC85" i="8"/>
  <c r="AV85" i="8"/>
  <c r="AU85" i="8"/>
  <c r="AS85" i="8"/>
  <c r="AN85" i="8"/>
  <c r="AM85" i="8"/>
  <c r="AK85" i="8"/>
  <c r="AH85" i="8"/>
  <c r="BG85" i="8" s="1"/>
  <c r="BL85" i="8" s="1"/>
  <c r="AG85" i="8"/>
  <c r="AF85" i="8"/>
  <c r="AE85" i="8"/>
  <c r="AD85" i="8"/>
  <c r="AC85" i="8"/>
  <c r="AB85" i="8"/>
  <c r="AJ85" i="8" s="1"/>
  <c r="AO85" i="8" s="1"/>
  <c r="AP85" i="8" s="1"/>
  <c r="BY85" i="8" s="1"/>
  <c r="AA85" i="8"/>
  <c r="Z85" i="8"/>
  <c r="Y85" i="8"/>
  <c r="X85" i="8"/>
  <c r="W85" i="8"/>
  <c r="V85" i="8"/>
  <c r="U85" i="8"/>
  <c r="T85" i="8"/>
  <c r="S85" i="8"/>
  <c r="CO84" i="8"/>
  <c r="CN84" i="8"/>
  <c r="CM84" i="8"/>
  <c r="CL84" i="8"/>
  <c r="CF84" i="8"/>
  <c r="CA84" i="8"/>
  <c r="BP84" i="8"/>
  <c r="BN84" i="8"/>
  <c r="BI84" i="8"/>
  <c r="BH84" i="8"/>
  <c r="BF84" i="8"/>
  <c r="BC84" i="8"/>
  <c r="AV84" i="8"/>
  <c r="AU84" i="8"/>
  <c r="AS84" i="8"/>
  <c r="AN84" i="8"/>
  <c r="AM84" i="8"/>
  <c r="AK84" i="8"/>
  <c r="AH84" i="8"/>
  <c r="AG84" i="8"/>
  <c r="AF84" i="8"/>
  <c r="AE84" i="8"/>
  <c r="AD84" i="8"/>
  <c r="AC84" i="8"/>
  <c r="AB84" i="8"/>
  <c r="AA84" i="8"/>
  <c r="Z84" i="8"/>
  <c r="Y84" i="8"/>
  <c r="X84" i="8"/>
  <c r="W84" i="8"/>
  <c r="V84" i="8"/>
  <c r="U84" i="8"/>
  <c r="T84" i="8"/>
  <c r="S84" i="8"/>
  <c r="CO83" i="8"/>
  <c r="CN83" i="8"/>
  <c r="CM83" i="8"/>
  <c r="CL83" i="8"/>
  <c r="CF83" i="8"/>
  <c r="CA83" i="8"/>
  <c r="BP83" i="8"/>
  <c r="BN83" i="8"/>
  <c r="BI83" i="8"/>
  <c r="BH83" i="8"/>
  <c r="BF83" i="8"/>
  <c r="BC83" i="8"/>
  <c r="AV83" i="8"/>
  <c r="AU83" i="8"/>
  <c r="AS83" i="8"/>
  <c r="AN83" i="8"/>
  <c r="AM83" i="8"/>
  <c r="AK83" i="8"/>
  <c r="AH83" i="8"/>
  <c r="BG83" i="8" s="1"/>
  <c r="BL83" i="8" s="1"/>
  <c r="AG83" i="8"/>
  <c r="AF83" i="8"/>
  <c r="AE83" i="8"/>
  <c r="AD83" i="8"/>
  <c r="AC83" i="8"/>
  <c r="AB83" i="8"/>
  <c r="AJ83" i="8" s="1"/>
  <c r="AO83" i="8" s="1"/>
  <c r="AP83" i="8" s="1"/>
  <c r="AA83" i="8"/>
  <c r="Z83" i="8"/>
  <c r="Y83" i="8"/>
  <c r="X83" i="8"/>
  <c r="W83" i="8"/>
  <c r="V83" i="8"/>
  <c r="U83" i="8"/>
  <c r="T83" i="8"/>
  <c r="S83" i="8"/>
  <c r="CO82" i="8"/>
  <c r="CN82" i="8"/>
  <c r="CM82" i="8"/>
  <c r="CL82" i="8"/>
  <c r="CF82" i="8"/>
  <c r="CA82" i="8"/>
  <c r="BP82" i="8"/>
  <c r="BN82" i="8"/>
  <c r="BI82" i="8"/>
  <c r="BH82" i="8"/>
  <c r="BF82" i="8"/>
  <c r="BC82" i="8"/>
  <c r="AV82" i="8"/>
  <c r="AU82" i="8"/>
  <c r="AS82" i="8"/>
  <c r="AN82" i="8"/>
  <c r="AM82" i="8"/>
  <c r="AK82" i="8"/>
  <c r="AH82" i="8"/>
  <c r="BO82" i="8" s="1"/>
  <c r="BQ82" i="8" s="1"/>
  <c r="BR82" i="8" s="1"/>
  <c r="AG82" i="8"/>
  <c r="AF82" i="8"/>
  <c r="AE82" i="8"/>
  <c r="AD82" i="8"/>
  <c r="AC82" i="8"/>
  <c r="AB82" i="8"/>
  <c r="AL82" i="8" s="1"/>
  <c r="AQ82" i="8" s="1"/>
  <c r="AA82" i="8"/>
  <c r="Z82" i="8"/>
  <c r="Y82" i="8"/>
  <c r="X82" i="8"/>
  <c r="W82" i="8"/>
  <c r="V82" i="8"/>
  <c r="U82" i="8"/>
  <c r="T82" i="8"/>
  <c r="S82" i="8"/>
  <c r="CO81" i="8"/>
  <c r="CN81" i="8"/>
  <c r="CM81" i="8"/>
  <c r="CL81" i="8"/>
  <c r="CF81" i="8"/>
  <c r="CA81" i="8"/>
  <c r="BP81" i="8"/>
  <c r="BN81" i="8"/>
  <c r="BI81" i="8"/>
  <c r="BH81" i="8"/>
  <c r="BF81" i="8"/>
  <c r="BC81" i="8"/>
  <c r="AV81" i="8"/>
  <c r="AU81" i="8"/>
  <c r="AS81" i="8"/>
  <c r="AN81" i="8"/>
  <c r="AM81" i="8"/>
  <c r="AK81" i="8"/>
  <c r="AH81" i="8"/>
  <c r="BG81" i="8" s="1"/>
  <c r="BL81" i="8" s="1"/>
  <c r="AG81" i="8"/>
  <c r="AF81" i="8"/>
  <c r="AE81" i="8"/>
  <c r="AD81" i="8"/>
  <c r="AC81" i="8"/>
  <c r="AB81" i="8"/>
  <c r="AA81" i="8"/>
  <c r="Z81" i="8"/>
  <c r="Y81" i="8"/>
  <c r="X81" i="8"/>
  <c r="W81" i="8"/>
  <c r="V81" i="8"/>
  <c r="U81" i="8"/>
  <c r="T81" i="8"/>
  <c r="S81" i="8"/>
  <c r="CO80" i="8"/>
  <c r="CN80" i="8"/>
  <c r="CM80" i="8"/>
  <c r="CL80" i="8"/>
  <c r="CF80" i="8"/>
  <c r="CA80" i="8"/>
  <c r="BP80" i="8"/>
  <c r="BN80" i="8"/>
  <c r="BI80" i="8"/>
  <c r="BH80" i="8"/>
  <c r="BF80" i="8"/>
  <c r="BC80" i="8"/>
  <c r="AV80" i="8"/>
  <c r="AU80" i="8"/>
  <c r="AS80" i="8"/>
  <c r="AN80" i="8"/>
  <c r="AM80" i="8"/>
  <c r="AK80" i="8"/>
  <c r="AH80" i="8"/>
  <c r="AG80" i="8"/>
  <c r="AF80" i="8"/>
  <c r="AE80" i="8"/>
  <c r="AD80" i="8"/>
  <c r="AC80" i="8"/>
  <c r="AB80" i="8"/>
  <c r="AT80" i="8" s="1"/>
  <c r="AW80" i="8" s="1"/>
  <c r="AX80" i="8" s="1"/>
  <c r="AA80" i="8"/>
  <c r="Z80" i="8"/>
  <c r="Y80" i="8"/>
  <c r="X80" i="8"/>
  <c r="W80" i="8"/>
  <c r="V80" i="8"/>
  <c r="U80" i="8"/>
  <c r="T80" i="8"/>
  <c r="S80" i="8"/>
  <c r="CO79" i="8"/>
  <c r="CN79" i="8"/>
  <c r="CM79" i="8"/>
  <c r="CL79" i="8"/>
  <c r="CF79" i="8"/>
  <c r="CA79" i="8"/>
  <c r="BP79" i="8"/>
  <c r="BN79" i="8"/>
  <c r="BI79" i="8"/>
  <c r="BH79" i="8"/>
  <c r="BF79" i="8"/>
  <c r="BC79" i="8"/>
  <c r="AV79" i="8"/>
  <c r="AU79" i="8"/>
  <c r="AS79" i="8"/>
  <c r="AN79" i="8"/>
  <c r="AM79" i="8"/>
  <c r="AK79" i="8"/>
  <c r="AH79" i="8"/>
  <c r="BG79" i="8" s="1"/>
  <c r="BL79" i="8" s="1"/>
  <c r="AG79" i="8"/>
  <c r="AF79" i="8"/>
  <c r="AE79" i="8"/>
  <c r="AD79" i="8"/>
  <c r="AC79" i="8"/>
  <c r="AB79" i="8"/>
  <c r="AT79" i="8" s="1"/>
  <c r="AW79" i="8" s="1"/>
  <c r="AX79" i="8" s="1"/>
  <c r="AA79" i="8"/>
  <c r="Z79" i="8"/>
  <c r="Y79" i="8"/>
  <c r="X79" i="8"/>
  <c r="W79" i="8"/>
  <c r="V79" i="8"/>
  <c r="U79" i="8"/>
  <c r="T79" i="8"/>
  <c r="S79" i="8"/>
  <c r="CO78" i="8"/>
  <c r="CN78" i="8"/>
  <c r="CM78" i="8"/>
  <c r="CL78" i="8"/>
  <c r="CF78" i="8"/>
  <c r="CA78" i="8"/>
  <c r="BP78" i="8"/>
  <c r="BN78" i="8"/>
  <c r="BI78" i="8"/>
  <c r="BH78" i="8"/>
  <c r="BF78" i="8"/>
  <c r="BC78" i="8"/>
  <c r="AV78" i="8"/>
  <c r="AU78" i="8"/>
  <c r="AS78" i="8"/>
  <c r="AN78" i="8"/>
  <c r="AM78" i="8"/>
  <c r="AK78" i="8"/>
  <c r="AJ78" i="8"/>
  <c r="AO78" i="8" s="1"/>
  <c r="AP78" i="8" s="1"/>
  <c r="AH78" i="8"/>
  <c r="AG78" i="8"/>
  <c r="AF78" i="8"/>
  <c r="AE78" i="8"/>
  <c r="AD78" i="8"/>
  <c r="AC78" i="8"/>
  <c r="AB78" i="8"/>
  <c r="AT78" i="8" s="1"/>
  <c r="AW78" i="8" s="1"/>
  <c r="AX78" i="8" s="1"/>
  <c r="AA78" i="8"/>
  <c r="Z78" i="8"/>
  <c r="Y78" i="8"/>
  <c r="X78" i="8"/>
  <c r="W78" i="8"/>
  <c r="V78" i="8"/>
  <c r="U78" i="8"/>
  <c r="T78" i="8"/>
  <c r="S78" i="8"/>
  <c r="CO77" i="8"/>
  <c r="CN77" i="8"/>
  <c r="CM77" i="8"/>
  <c r="CL77" i="8"/>
  <c r="CF77" i="8"/>
  <c r="CA77" i="8"/>
  <c r="BP77" i="8"/>
  <c r="BN77" i="8"/>
  <c r="BI77" i="8"/>
  <c r="BH77" i="8"/>
  <c r="BF77" i="8"/>
  <c r="BC77" i="8"/>
  <c r="AV77" i="8"/>
  <c r="AU77" i="8"/>
  <c r="AS77" i="8"/>
  <c r="AN77" i="8"/>
  <c r="AM77" i="8"/>
  <c r="AK77" i="8"/>
  <c r="AH77" i="8"/>
  <c r="BO77" i="8" s="1"/>
  <c r="BQ77" i="8" s="1"/>
  <c r="BR77" i="8" s="1"/>
  <c r="AG77" i="8"/>
  <c r="AF77" i="8"/>
  <c r="AE77" i="8"/>
  <c r="AD77" i="8"/>
  <c r="AC77" i="8"/>
  <c r="AB77" i="8"/>
  <c r="AA77" i="8"/>
  <c r="Z77" i="8"/>
  <c r="Y77" i="8"/>
  <c r="X77" i="8"/>
  <c r="W77" i="8"/>
  <c r="V77" i="8"/>
  <c r="U77" i="8"/>
  <c r="T77" i="8"/>
  <c r="S77" i="8"/>
  <c r="CO76" i="8"/>
  <c r="CN76" i="8"/>
  <c r="CM76" i="8"/>
  <c r="CL76" i="8"/>
  <c r="CF76" i="8"/>
  <c r="CA76" i="8"/>
  <c r="BP76" i="8"/>
  <c r="BN76" i="8"/>
  <c r="BI76" i="8"/>
  <c r="BH76" i="8"/>
  <c r="BF76" i="8"/>
  <c r="BC76" i="8"/>
  <c r="AV76" i="8"/>
  <c r="AU76" i="8"/>
  <c r="AS76" i="8"/>
  <c r="AN76" i="8"/>
  <c r="AM76" i="8"/>
  <c r="AK76" i="8"/>
  <c r="AH76" i="8"/>
  <c r="BE76" i="8" s="1"/>
  <c r="BJ76" i="8" s="1"/>
  <c r="BK76" i="8" s="1"/>
  <c r="AG76" i="8"/>
  <c r="AF76" i="8"/>
  <c r="AE76" i="8"/>
  <c r="AD76" i="8"/>
  <c r="AC76" i="8"/>
  <c r="AB76" i="8"/>
  <c r="AA76" i="8"/>
  <c r="Z76" i="8"/>
  <c r="Y76" i="8"/>
  <c r="X76" i="8"/>
  <c r="W76" i="8"/>
  <c r="V76" i="8"/>
  <c r="U76" i="8"/>
  <c r="T76" i="8"/>
  <c r="S76" i="8"/>
  <c r="CN75" i="8"/>
  <c r="CO75" i="8" s="1"/>
  <c r="CL75" i="8"/>
  <c r="BP75" i="8"/>
  <c r="BN75" i="8"/>
  <c r="BI75" i="8"/>
  <c r="BH75" i="8"/>
  <c r="BF75" i="8"/>
  <c r="AU75" i="8"/>
  <c r="AS75" i="8"/>
  <c r="AN75" i="8"/>
  <c r="AM75" i="8"/>
  <c r="AK75" i="8"/>
  <c r="AG75" i="8"/>
  <c r="AF75" i="8"/>
  <c r="AE75" i="8"/>
  <c r="AD75" i="8"/>
  <c r="AC75" i="8"/>
  <c r="AA75" i="8"/>
  <c r="Z75" i="8"/>
  <c r="Y75" i="8"/>
  <c r="X75" i="8"/>
  <c r="W75" i="8"/>
  <c r="V75" i="8"/>
  <c r="U75" i="8"/>
  <c r="AV75" i="8" s="1"/>
  <c r="T75" i="8"/>
  <c r="S75" i="8"/>
  <c r="CN74" i="8"/>
  <c r="CL74" i="8"/>
  <c r="BP74" i="8"/>
  <c r="BN74" i="8"/>
  <c r="BI74" i="8"/>
  <c r="BH74" i="8"/>
  <c r="BF74" i="8"/>
  <c r="AU74" i="8"/>
  <c r="AS74" i="8"/>
  <c r="AN74" i="8"/>
  <c r="AM74" i="8"/>
  <c r="AK74" i="8"/>
  <c r="AG74" i="8"/>
  <c r="AF74" i="8"/>
  <c r="AE74" i="8"/>
  <c r="AD74" i="8"/>
  <c r="AC74" i="8"/>
  <c r="AA74" i="8"/>
  <c r="Z74" i="8"/>
  <c r="Y74" i="8"/>
  <c r="X74" i="8"/>
  <c r="W74" i="8"/>
  <c r="V74" i="8"/>
  <c r="U74" i="8"/>
  <c r="AV74" i="8" s="1"/>
  <c r="T74" i="8"/>
  <c r="S74" i="8"/>
  <c r="CN73" i="8"/>
  <c r="CO73" i="8" s="1"/>
  <c r="CL73" i="8"/>
  <c r="CM73" i="8" s="1"/>
  <c r="BP73" i="8"/>
  <c r="BN73" i="8"/>
  <c r="BI73" i="8"/>
  <c r="BH73" i="8"/>
  <c r="BF73" i="8"/>
  <c r="AV73" i="8"/>
  <c r="AU73" i="8"/>
  <c r="AS73" i="8"/>
  <c r="AN73" i="8"/>
  <c r="AM73" i="8"/>
  <c r="AK73" i="8"/>
  <c r="AG73" i="8"/>
  <c r="AF73" i="8"/>
  <c r="AE73" i="8"/>
  <c r="AD73" i="8"/>
  <c r="AC73" i="8"/>
  <c r="AA73" i="8"/>
  <c r="Z73" i="8"/>
  <c r="Y73" i="8"/>
  <c r="X73" i="8"/>
  <c r="W73" i="8"/>
  <c r="V73" i="8"/>
  <c r="U73" i="8"/>
  <c r="T73" i="8"/>
  <c r="S73" i="8"/>
  <c r="CO67" i="8"/>
  <c r="CN67" i="8"/>
  <c r="CM67" i="8"/>
  <c r="CL67" i="8"/>
  <c r="CF67" i="8"/>
  <c r="CA67" i="8"/>
  <c r="BP67" i="8"/>
  <c r="BN67" i="8"/>
  <c r="BI67" i="8"/>
  <c r="BH67" i="8"/>
  <c r="BF67" i="8"/>
  <c r="BC67" i="8"/>
  <c r="AV67" i="8"/>
  <c r="AU67" i="8"/>
  <c r="AS67" i="8"/>
  <c r="AN67" i="8"/>
  <c r="AM67" i="8"/>
  <c r="AK67" i="8"/>
  <c r="AH67" i="8"/>
  <c r="AG67" i="8"/>
  <c r="AF67" i="8"/>
  <c r="AE67" i="8"/>
  <c r="AD67" i="8"/>
  <c r="AC67" i="8"/>
  <c r="AB67" i="8"/>
  <c r="AA67" i="8"/>
  <c r="Z67" i="8"/>
  <c r="Y67" i="8"/>
  <c r="X67" i="8"/>
  <c r="W67" i="8"/>
  <c r="V67" i="8"/>
  <c r="U67" i="8"/>
  <c r="T67" i="8"/>
  <c r="S67" i="8"/>
  <c r="CO66" i="8"/>
  <c r="CN66" i="8"/>
  <c r="CM66" i="8"/>
  <c r="CL66" i="8"/>
  <c r="CF66" i="8"/>
  <c r="CA66" i="8"/>
  <c r="BP66" i="8"/>
  <c r="BN66" i="8"/>
  <c r="BI66" i="8"/>
  <c r="BH66" i="8"/>
  <c r="BF66" i="8"/>
  <c r="BC66" i="8"/>
  <c r="AV66" i="8"/>
  <c r="AU66" i="8"/>
  <c r="AS66" i="8"/>
  <c r="AN66" i="8"/>
  <c r="AM66" i="8"/>
  <c r="AK66" i="8"/>
  <c r="AH66" i="8"/>
  <c r="BO66" i="8" s="1"/>
  <c r="BQ66" i="8" s="1"/>
  <c r="BR66" i="8" s="1"/>
  <c r="AG66" i="8"/>
  <c r="AF66" i="8"/>
  <c r="AE66" i="8"/>
  <c r="AD66" i="8"/>
  <c r="AC66" i="8"/>
  <c r="AB66" i="8"/>
  <c r="AT66" i="8" s="1"/>
  <c r="AW66" i="8" s="1"/>
  <c r="AX66" i="8" s="1"/>
  <c r="AA66" i="8"/>
  <c r="Z66" i="8"/>
  <c r="Y66" i="8"/>
  <c r="X66" i="8"/>
  <c r="W66" i="8"/>
  <c r="V66" i="8"/>
  <c r="U66" i="8"/>
  <c r="T66" i="8"/>
  <c r="S66" i="8"/>
  <c r="CO65" i="8"/>
  <c r="CN65" i="8"/>
  <c r="CM65" i="8"/>
  <c r="CL65" i="8"/>
  <c r="CF65" i="8"/>
  <c r="CA65" i="8"/>
  <c r="BP65" i="8"/>
  <c r="BN65" i="8"/>
  <c r="BI65" i="8"/>
  <c r="BH65" i="8"/>
  <c r="BF65" i="8"/>
  <c r="BC65" i="8"/>
  <c r="AV65" i="8"/>
  <c r="AU65" i="8"/>
  <c r="AS65" i="8"/>
  <c r="AN65" i="8"/>
  <c r="AM65" i="8"/>
  <c r="AK65" i="8"/>
  <c r="AH65" i="8"/>
  <c r="AG65" i="8"/>
  <c r="AF65" i="8"/>
  <c r="AE65" i="8"/>
  <c r="AD65" i="8"/>
  <c r="AC65" i="8"/>
  <c r="AB65" i="8"/>
  <c r="AA65" i="8"/>
  <c r="Z65" i="8"/>
  <c r="Y65" i="8"/>
  <c r="X65" i="8"/>
  <c r="W65" i="8"/>
  <c r="V65" i="8"/>
  <c r="U65" i="8"/>
  <c r="T65" i="8"/>
  <c r="S65" i="8"/>
  <c r="CO64" i="8"/>
  <c r="CN64" i="8"/>
  <c r="CM64" i="8"/>
  <c r="CL64" i="8"/>
  <c r="CF64" i="8"/>
  <c r="CA64" i="8"/>
  <c r="BP64" i="8"/>
  <c r="BN64" i="8"/>
  <c r="BI64" i="8"/>
  <c r="BH64" i="8"/>
  <c r="BF64" i="8"/>
  <c r="BC64" i="8"/>
  <c r="AV64" i="8"/>
  <c r="AU64" i="8"/>
  <c r="AS64" i="8"/>
  <c r="AN64" i="8"/>
  <c r="AM64" i="8"/>
  <c r="AK64" i="8"/>
  <c r="AH64" i="8"/>
  <c r="BG64" i="8" s="1"/>
  <c r="BL64" i="8" s="1"/>
  <c r="AG64" i="8"/>
  <c r="AF64" i="8"/>
  <c r="AE64" i="8"/>
  <c r="AD64" i="8"/>
  <c r="AC64" i="8"/>
  <c r="AB64" i="8"/>
  <c r="AT64" i="8" s="1"/>
  <c r="AW64" i="8" s="1"/>
  <c r="AX64" i="8" s="1"/>
  <c r="AY64" i="8" s="1"/>
  <c r="AA64" i="8"/>
  <c r="Z64" i="8"/>
  <c r="Y64" i="8"/>
  <c r="X64" i="8"/>
  <c r="W64" i="8"/>
  <c r="V64" i="8"/>
  <c r="U64" i="8"/>
  <c r="T64" i="8"/>
  <c r="S64" i="8"/>
  <c r="CO63" i="8"/>
  <c r="CN63" i="8"/>
  <c r="CM63" i="8"/>
  <c r="CL63" i="8"/>
  <c r="CF63" i="8"/>
  <c r="CA63" i="8"/>
  <c r="BP63" i="8"/>
  <c r="BN63" i="8"/>
  <c r="BI63" i="8"/>
  <c r="BH63" i="8"/>
  <c r="BF63" i="8"/>
  <c r="BC63" i="8"/>
  <c r="AV63" i="8"/>
  <c r="AU63" i="8"/>
  <c r="AS63" i="8"/>
  <c r="AN63" i="8"/>
  <c r="AM63" i="8"/>
  <c r="AK63" i="8"/>
  <c r="AH63" i="8"/>
  <c r="BE63" i="8" s="1"/>
  <c r="BJ63" i="8" s="1"/>
  <c r="BK63" i="8" s="1"/>
  <c r="BX63" i="8" s="1"/>
  <c r="AG63" i="8"/>
  <c r="AF63" i="8"/>
  <c r="AE63" i="8"/>
  <c r="AD63" i="8"/>
  <c r="AC63" i="8"/>
  <c r="AB63" i="8"/>
  <c r="AA63" i="8"/>
  <c r="Z63" i="8"/>
  <c r="Y63" i="8"/>
  <c r="X63" i="8"/>
  <c r="W63" i="8"/>
  <c r="V63" i="8"/>
  <c r="U63" i="8"/>
  <c r="T63" i="8"/>
  <c r="S63" i="8"/>
  <c r="CO62" i="8"/>
  <c r="CN62" i="8"/>
  <c r="CM62" i="8"/>
  <c r="CL62" i="8"/>
  <c r="CF62" i="8"/>
  <c r="CA62" i="8"/>
  <c r="BP62" i="8"/>
  <c r="BN62" i="8"/>
  <c r="BI62" i="8"/>
  <c r="BH62" i="8"/>
  <c r="BF62" i="8"/>
  <c r="BC62" i="8"/>
  <c r="AV62" i="8"/>
  <c r="AU62" i="8"/>
  <c r="AS62" i="8"/>
  <c r="AN62" i="8"/>
  <c r="AM62" i="8"/>
  <c r="AK62" i="8"/>
  <c r="AH62" i="8"/>
  <c r="BO62" i="8" s="1"/>
  <c r="BQ62" i="8" s="1"/>
  <c r="BR62" i="8" s="1"/>
  <c r="BS62" i="8" s="1"/>
  <c r="AG62" i="8"/>
  <c r="AF62" i="8"/>
  <c r="AE62" i="8"/>
  <c r="AD62" i="8"/>
  <c r="AC62" i="8"/>
  <c r="AB62" i="8"/>
  <c r="AT62" i="8" s="1"/>
  <c r="AW62" i="8" s="1"/>
  <c r="AX62" i="8" s="1"/>
  <c r="AA62" i="8"/>
  <c r="Z62" i="8"/>
  <c r="Y62" i="8"/>
  <c r="X62" i="8"/>
  <c r="W62" i="8"/>
  <c r="V62" i="8"/>
  <c r="U62" i="8"/>
  <c r="T62" i="8"/>
  <c r="S62" i="8"/>
  <c r="CO61" i="8"/>
  <c r="CN61" i="8"/>
  <c r="CM61" i="8"/>
  <c r="CL61" i="8"/>
  <c r="CF61" i="8"/>
  <c r="CA61" i="8"/>
  <c r="BP61" i="8"/>
  <c r="BN61" i="8"/>
  <c r="BI61" i="8"/>
  <c r="BH61" i="8"/>
  <c r="BF61" i="8"/>
  <c r="BC61" i="8"/>
  <c r="AV61" i="8"/>
  <c r="AU61" i="8"/>
  <c r="AS61" i="8"/>
  <c r="AN61" i="8"/>
  <c r="AM61" i="8"/>
  <c r="AK61" i="8"/>
  <c r="AH61" i="8"/>
  <c r="BE61" i="8" s="1"/>
  <c r="BJ61" i="8" s="1"/>
  <c r="BK61" i="8" s="1"/>
  <c r="AG61" i="8"/>
  <c r="AF61" i="8"/>
  <c r="AE61" i="8"/>
  <c r="AD61" i="8"/>
  <c r="AC61" i="8"/>
  <c r="AB61" i="8"/>
  <c r="AA61" i="8"/>
  <c r="Z61" i="8"/>
  <c r="Y61" i="8"/>
  <c r="X61" i="8"/>
  <c r="W61" i="8"/>
  <c r="V61" i="8"/>
  <c r="U61" i="8"/>
  <c r="T61" i="8"/>
  <c r="S61" i="8"/>
  <c r="CO60" i="8"/>
  <c r="CN60" i="8"/>
  <c r="CM60" i="8"/>
  <c r="CL60" i="8"/>
  <c r="CF60" i="8"/>
  <c r="CA60" i="8"/>
  <c r="BP60" i="8"/>
  <c r="BN60" i="8"/>
  <c r="BI60" i="8"/>
  <c r="BH60" i="8"/>
  <c r="BF60" i="8"/>
  <c r="BC60" i="8"/>
  <c r="AV60" i="8"/>
  <c r="AU60" i="8"/>
  <c r="AS60" i="8"/>
  <c r="AN60" i="8"/>
  <c r="AM60" i="8"/>
  <c r="AK60" i="8"/>
  <c r="AH60" i="8"/>
  <c r="BG60" i="8" s="1"/>
  <c r="BL60" i="8" s="1"/>
  <c r="AG60" i="8"/>
  <c r="AF60" i="8"/>
  <c r="AE60" i="8"/>
  <c r="AD60" i="8"/>
  <c r="AC60" i="8"/>
  <c r="AB60" i="8"/>
  <c r="AT60" i="8" s="1"/>
  <c r="AW60" i="8" s="1"/>
  <c r="AX60" i="8" s="1"/>
  <c r="AY60" i="8" s="1"/>
  <c r="AA60" i="8"/>
  <c r="Z60" i="8"/>
  <c r="Y60" i="8"/>
  <c r="X60" i="8"/>
  <c r="W60" i="8"/>
  <c r="V60" i="8"/>
  <c r="U60" i="8"/>
  <c r="T60" i="8"/>
  <c r="S60" i="8"/>
  <c r="CO59" i="8"/>
  <c r="CN59" i="8"/>
  <c r="CM59" i="8"/>
  <c r="CL59" i="8"/>
  <c r="CF59" i="8"/>
  <c r="CA59" i="8"/>
  <c r="BP59" i="8"/>
  <c r="BN59" i="8"/>
  <c r="BI59" i="8"/>
  <c r="BH59" i="8"/>
  <c r="BF59" i="8"/>
  <c r="BC59" i="8"/>
  <c r="AV59" i="8"/>
  <c r="AU59" i="8"/>
  <c r="AS59" i="8"/>
  <c r="AN59" i="8"/>
  <c r="AM59" i="8"/>
  <c r="AK59" i="8"/>
  <c r="AH59" i="8"/>
  <c r="BE59" i="8" s="1"/>
  <c r="BJ59" i="8" s="1"/>
  <c r="BK59" i="8" s="1"/>
  <c r="AG59" i="8"/>
  <c r="AF59" i="8"/>
  <c r="AE59" i="8"/>
  <c r="AD59" i="8"/>
  <c r="AC59" i="8"/>
  <c r="AB59" i="8"/>
  <c r="AA59" i="8"/>
  <c r="Z59" i="8"/>
  <c r="Y59" i="8"/>
  <c r="X59" i="8"/>
  <c r="W59" i="8"/>
  <c r="V59" i="8"/>
  <c r="U59" i="8"/>
  <c r="T59" i="8"/>
  <c r="S59" i="8"/>
  <c r="CO58" i="8"/>
  <c r="CN58" i="8"/>
  <c r="CM58" i="8"/>
  <c r="CL58" i="8"/>
  <c r="CF58" i="8"/>
  <c r="CA58" i="8"/>
  <c r="BP58" i="8"/>
  <c r="BN58" i="8"/>
  <c r="BI58" i="8"/>
  <c r="BH58" i="8"/>
  <c r="BF58" i="8"/>
  <c r="BC58" i="8"/>
  <c r="AV58" i="8"/>
  <c r="AU58" i="8"/>
  <c r="AS58" i="8"/>
  <c r="AN58" i="8"/>
  <c r="AM58" i="8"/>
  <c r="AK58" i="8"/>
  <c r="AH58" i="8"/>
  <c r="BG58" i="8" s="1"/>
  <c r="BL58" i="8" s="1"/>
  <c r="AG58" i="8"/>
  <c r="AF58" i="8"/>
  <c r="AE58" i="8"/>
  <c r="AD58" i="8"/>
  <c r="AC58" i="8"/>
  <c r="AB58" i="8"/>
  <c r="AA58" i="8"/>
  <c r="Z58" i="8"/>
  <c r="Y58" i="8"/>
  <c r="X58" i="8"/>
  <c r="W58" i="8"/>
  <c r="V58" i="8"/>
  <c r="U58" i="8"/>
  <c r="T58" i="8"/>
  <c r="S58" i="8"/>
  <c r="CO57" i="8"/>
  <c r="CN57" i="8"/>
  <c r="CM57" i="8"/>
  <c r="CL57" i="8"/>
  <c r="CF57" i="8"/>
  <c r="CA57" i="8"/>
  <c r="BP57" i="8"/>
  <c r="BN57" i="8"/>
  <c r="BI57" i="8"/>
  <c r="BH57" i="8"/>
  <c r="BF57" i="8"/>
  <c r="BC57" i="8"/>
  <c r="AV57" i="8"/>
  <c r="AU57" i="8"/>
  <c r="AS57" i="8"/>
  <c r="AN57" i="8"/>
  <c r="AM57" i="8"/>
  <c r="AK57" i="8"/>
  <c r="AH57" i="8"/>
  <c r="AG57" i="8"/>
  <c r="AF57" i="8"/>
  <c r="AE57" i="8"/>
  <c r="AD57" i="8"/>
  <c r="AC57" i="8"/>
  <c r="AB57" i="8"/>
  <c r="AA57" i="8"/>
  <c r="Z57" i="8"/>
  <c r="Y57" i="8"/>
  <c r="X57" i="8"/>
  <c r="W57" i="8"/>
  <c r="V57" i="8"/>
  <c r="U57" i="8"/>
  <c r="T57" i="8"/>
  <c r="S57" i="8"/>
  <c r="CO56" i="8"/>
  <c r="CN56" i="8"/>
  <c r="CM56" i="8"/>
  <c r="CL56" i="8"/>
  <c r="CF56" i="8"/>
  <c r="CA56" i="8"/>
  <c r="BP56" i="8"/>
  <c r="BN56" i="8"/>
  <c r="BI56" i="8"/>
  <c r="BH56" i="8"/>
  <c r="BF56" i="8"/>
  <c r="BC56" i="8"/>
  <c r="AV56" i="8"/>
  <c r="AU56" i="8"/>
  <c r="AS56" i="8"/>
  <c r="AN56" i="8"/>
  <c r="AM56" i="8"/>
  <c r="AK56" i="8"/>
  <c r="AH56" i="8"/>
  <c r="AG56" i="8"/>
  <c r="AF56" i="8"/>
  <c r="AE56" i="8"/>
  <c r="AD56" i="8"/>
  <c r="AC56" i="8"/>
  <c r="AB56" i="8"/>
  <c r="AA56" i="8"/>
  <c r="Z56" i="8"/>
  <c r="Y56" i="8"/>
  <c r="X56" i="8"/>
  <c r="W56" i="8"/>
  <c r="V56" i="8"/>
  <c r="U56" i="8"/>
  <c r="T56" i="8"/>
  <c r="S56" i="8"/>
  <c r="CO55" i="8"/>
  <c r="CN55" i="8"/>
  <c r="CM55" i="8"/>
  <c r="CL55" i="8"/>
  <c r="CF55" i="8"/>
  <c r="CA55" i="8"/>
  <c r="BP55" i="8"/>
  <c r="BN55" i="8"/>
  <c r="BI55" i="8"/>
  <c r="BH55" i="8"/>
  <c r="BF55" i="8"/>
  <c r="BC55" i="8"/>
  <c r="AV55" i="8"/>
  <c r="AU55" i="8"/>
  <c r="AS55" i="8"/>
  <c r="AN55" i="8"/>
  <c r="AM55" i="8"/>
  <c r="AK55" i="8"/>
  <c r="AH55" i="8"/>
  <c r="BO55" i="8" s="1"/>
  <c r="BQ55" i="8" s="1"/>
  <c r="BR55" i="8" s="1"/>
  <c r="AG55" i="8"/>
  <c r="AF55" i="8"/>
  <c r="AE55" i="8"/>
  <c r="AD55" i="8"/>
  <c r="AC55" i="8"/>
  <c r="AB55" i="8"/>
  <c r="AJ55" i="8" s="1"/>
  <c r="AO55" i="8" s="1"/>
  <c r="AP55" i="8" s="1"/>
  <c r="BB55" i="8" s="1"/>
  <c r="AA55" i="8"/>
  <c r="Z55" i="8"/>
  <c r="Y55" i="8"/>
  <c r="X55" i="8"/>
  <c r="W55" i="8"/>
  <c r="V55" i="8"/>
  <c r="U55" i="8"/>
  <c r="T55" i="8"/>
  <c r="S55" i="8"/>
  <c r="CO54" i="8"/>
  <c r="CN54" i="8"/>
  <c r="CM54" i="8"/>
  <c r="CL54" i="8"/>
  <c r="CF54" i="8"/>
  <c r="CA54" i="8"/>
  <c r="BP54" i="8"/>
  <c r="BN54" i="8"/>
  <c r="BI54" i="8"/>
  <c r="BH54" i="8"/>
  <c r="BF54" i="8"/>
  <c r="BC54" i="8"/>
  <c r="AV54" i="8"/>
  <c r="AU54" i="8"/>
  <c r="AS54" i="8"/>
  <c r="AN54" i="8"/>
  <c r="AM54" i="8"/>
  <c r="AK54" i="8"/>
  <c r="AH54" i="8"/>
  <c r="BG54" i="8" s="1"/>
  <c r="BL54" i="8" s="1"/>
  <c r="AG54" i="8"/>
  <c r="AF54" i="8"/>
  <c r="AE54" i="8"/>
  <c r="AD54" i="8"/>
  <c r="AC54" i="8"/>
  <c r="AB54" i="8"/>
  <c r="AL54" i="8" s="1"/>
  <c r="AQ54" i="8" s="1"/>
  <c r="AA54" i="8"/>
  <c r="Z54" i="8"/>
  <c r="Y54" i="8"/>
  <c r="X54" i="8"/>
  <c r="W54" i="8"/>
  <c r="V54" i="8"/>
  <c r="U54" i="8"/>
  <c r="T54" i="8"/>
  <c r="S54" i="8"/>
  <c r="CO53" i="8"/>
  <c r="CN53" i="8"/>
  <c r="CM53" i="8"/>
  <c r="CL53" i="8"/>
  <c r="CF53" i="8"/>
  <c r="CA53" i="8"/>
  <c r="BP53" i="8"/>
  <c r="BN53" i="8"/>
  <c r="BI53" i="8"/>
  <c r="BH53" i="8"/>
  <c r="BF53" i="8"/>
  <c r="BC53" i="8"/>
  <c r="AV53" i="8"/>
  <c r="AU53" i="8"/>
  <c r="AS53" i="8"/>
  <c r="AN53" i="8"/>
  <c r="AM53" i="8"/>
  <c r="AK53" i="8"/>
  <c r="AH53" i="8"/>
  <c r="AG53" i="8"/>
  <c r="AF53" i="8"/>
  <c r="AE53" i="8"/>
  <c r="AD53" i="8"/>
  <c r="AC53" i="8"/>
  <c r="AB53" i="8"/>
  <c r="AA53" i="8"/>
  <c r="Z53" i="8"/>
  <c r="Y53" i="8"/>
  <c r="X53" i="8"/>
  <c r="W53" i="8"/>
  <c r="V53" i="8"/>
  <c r="U53" i="8"/>
  <c r="T53" i="8"/>
  <c r="S53" i="8"/>
  <c r="CO52" i="8"/>
  <c r="CN52" i="8"/>
  <c r="CM52" i="8"/>
  <c r="CL52" i="8"/>
  <c r="CF52" i="8"/>
  <c r="CA52" i="8"/>
  <c r="BP52" i="8"/>
  <c r="BN52" i="8"/>
  <c r="BI52" i="8"/>
  <c r="BH52" i="8"/>
  <c r="BF52" i="8"/>
  <c r="BC52" i="8"/>
  <c r="AV52" i="8"/>
  <c r="AU52" i="8"/>
  <c r="AS52" i="8"/>
  <c r="AN52" i="8"/>
  <c r="AM52" i="8"/>
  <c r="AK52" i="8"/>
  <c r="AH52" i="8"/>
  <c r="BO52" i="8" s="1"/>
  <c r="BQ52" i="8" s="1"/>
  <c r="BR52" i="8" s="1"/>
  <c r="AG52" i="8"/>
  <c r="AF52" i="8"/>
  <c r="AE52" i="8"/>
  <c r="AD52" i="8"/>
  <c r="AC52" i="8"/>
  <c r="AB52" i="8"/>
  <c r="AA52" i="8"/>
  <c r="Z52" i="8"/>
  <c r="Y52" i="8"/>
  <c r="X52" i="8"/>
  <c r="W52" i="8"/>
  <c r="V52" i="8"/>
  <c r="U52" i="8"/>
  <c r="T52" i="8"/>
  <c r="S52" i="8"/>
  <c r="CO51" i="8"/>
  <c r="CN51" i="8"/>
  <c r="CM51" i="8"/>
  <c r="CL51" i="8"/>
  <c r="CF51" i="8"/>
  <c r="CA51" i="8"/>
  <c r="BP51" i="8"/>
  <c r="BN51" i="8"/>
  <c r="BI51" i="8"/>
  <c r="BH51" i="8"/>
  <c r="BF51" i="8"/>
  <c r="BC51" i="8"/>
  <c r="AV51" i="8"/>
  <c r="AU51" i="8"/>
  <c r="AS51" i="8"/>
  <c r="AN51" i="8"/>
  <c r="AM51" i="8"/>
  <c r="AK51" i="8"/>
  <c r="AH51" i="8"/>
  <c r="BO51" i="8" s="1"/>
  <c r="BQ51" i="8" s="1"/>
  <c r="BR51" i="8" s="1"/>
  <c r="BS51" i="8" s="1"/>
  <c r="AG51" i="8"/>
  <c r="AF51" i="8"/>
  <c r="AE51" i="8"/>
  <c r="AD51" i="8"/>
  <c r="AC51" i="8"/>
  <c r="AB51" i="8"/>
  <c r="AT51" i="8" s="1"/>
  <c r="AW51" i="8" s="1"/>
  <c r="AX51" i="8" s="1"/>
  <c r="AA51" i="8"/>
  <c r="Z51" i="8"/>
  <c r="Y51" i="8"/>
  <c r="X51" i="8"/>
  <c r="W51" i="8"/>
  <c r="V51" i="8"/>
  <c r="U51" i="8"/>
  <c r="T51" i="8"/>
  <c r="S51" i="8"/>
  <c r="CO50" i="8"/>
  <c r="CN50" i="8"/>
  <c r="CM50" i="8"/>
  <c r="CL50" i="8"/>
  <c r="CF50" i="8"/>
  <c r="CA50" i="8"/>
  <c r="BP50" i="8"/>
  <c r="BN50" i="8"/>
  <c r="BI50" i="8"/>
  <c r="BH50" i="8"/>
  <c r="BF50" i="8"/>
  <c r="BC50" i="8"/>
  <c r="AV50" i="8"/>
  <c r="AU50" i="8"/>
  <c r="AS50" i="8"/>
  <c r="AN50" i="8"/>
  <c r="AM50" i="8"/>
  <c r="AK50" i="8"/>
  <c r="AH50" i="8"/>
  <c r="BO50" i="8" s="1"/>
  <c r="BQ50" i="8" s="1"/>
  <c r="BR50" i="8" s="1"/>
  <c r="BS50" i="8" s="1"/>
  <c r="AG50" i="8"/>
  <c r="AF50" i="8"/>
  <c r="AE50" i="8"/>
  <c r="AD50" i="8"/>
  <c r="AC50" i="8"/>
  <c r="AB50" i="8"/>
  <c r="AA50" i="8"/>
  <c r="Z50" i="8"/>
  <c r="Y50" i="8"/>
  <c r="X50" i="8"/>
  <c r="W50" i="8"/>
  <c r="V50" i="8"/>
  <c r="U50" i="8"/>
  <c r="T50" i="8"/>
  <c r="S50" i="8"/>
  <c r="CO49" i="8"/>
  <c r="CN49" i="8"/>
  <c r="CM49" i="8"/>
  <c r="CL49" i="8"/>
  <c r="CF49" i="8"/>
  <c r="CA49" i="8"/>
  <c r="BP49" i="8"/>
  <c r="BN49" i="8"/>
  <c r="BI49" i="8"/>
  <c r="BH49" i="8"/>
  <c r="BF49" i="8"/>
  <c r="BC49" i="8"/>
  <c r="AV49" i="8"/>
  <c r="AU49" i="8"/>
  <c r="AT49" i="8"/>
  <c r="AW49" i="8" s="1"/>
  <c r="AX49" i="8" s="1"/>
  <c r="AS49" i="8"/>
  <c r="AN49" i="8"/>
  <c r="AM49" i="8"/>
  <c r="AK49" i="8"/>
  <c r="AH49" i="8"/>
  <c r="BO49" i="8" s="1"/>
  <c r="BQ49" i="8" s="1"/>
  <c r="BR49" i="8" s="1"/>
  <c r="AG49" i="8"/>
  <c r="AF49" i="8"/>
  <c r="AE49" i="8"/>
  <c r="AD49" i="8"/>
  <c r="AC49" i="8"/>
  <c r="AB49" i="8"/>
  <c r="AA49" i="8"/>
  <c r="Z49" i="8"/>
  <c r="Y49" i="8"/>
  <c r="X49" i="8"/>
  <c r="W49" i="8"/>
  <c r="V49" i="8"/>
  <c r="U49" i="8"/>
  <c r="T49" i="8"/>
  <c r="S49" i="8"/>
  <c r="CO48" i="8"/>
  <c r="CN48" i="8"/>
  <c r="CM48" i="8"/>
  <c r="CL48" i="8"/>
  <c r="CF48" i="8"/>
  <c r="CA48" i="8"/>
  <c r="BP48" i="8"/>
  <c r="BN48" i="8"/>
  <c r="BI48" i="8"/>
  <c r="BH48" i="8"/>
  <c r="BF48" i="8"/>
  <c r="BC48" i="8"/>
  <c r="AV48" i="8"/>
  <c r="AU48" i="8"/>
  <c r="AS48" i="8"/>
  <c r="AN48" i="8"/>
  <c r="AM48" i="8"/>
  <c r="AK48" i="8"/>
  <c r="AH48" i="8"/>
  <c r="BO48" i="8" s="1"/>
  <c r="BQ48" i="8" s="1"/>
  <c r="BR48" i="8" s="1"/>
  <c r="AG48" i="8"/>
  <c r="AF48" i="8"/>
  <c r="AE48" i="8"/>
  <c r="AD48" i="8"/>
  <c r="AC48" i="8"/>
  <c r="AB48" i="8"/>
  <c r="AJ48" i="8" s="1"/>
  <c r="AO48" i="8" s="1"/>
  <c r="AP48" i="8" s="1"/>
  <c r="AA48" i="8"/>
  <c r="Z48" i="8"/>
  <c r="Y48" i="8"/>
  <c r="X48" i="8"/>
  <c r="W48" i="8"/>
  <c r="V48" i="8"/>
  <c r="U48" i="8"/>
  <c r="T48" i="8"/>
  <c r="S48" i="8"/>
  <c r="CO47" i="8"/>
  <c r="CN47" i="8"/>
  <c r="CM47" i="8"/>
  <c r="CL47" i="8"/>
  <c r="CF47" i="8"/>
  <c r="CA47" i="8"/>
  <c r="BP47" i="8"/>
  <c r="BN47" i="8"/>
  <c r="BI47" i="8"/>
  <c r="BH47" i="8"/>
  <c r="BF47" i="8"/>
  <c r="BC47" i="8"/>
  <c r="AV47" i="8"/>
  <c r="AU47" i="8"/>
  <c r="AS47" i="8"/>
  <c r="AN47" i="8"/>
  <c r="AM47" i="8"/>
  <c r="AK47" i="8"/>
  <c r="AH47" i="8"/>
  <c r="BG47" i="8" s="1"/>
  <c r="BL47" i="8" s="1"/>
  <c r="AG47" i="8"/>
  <c r="AF47" i="8"/>
  <c r="AE47" i="8"/>
  <c r="AD47" i="8"/>
  <c r="AC47" i="8"/>
  <c r="AB47" i="8"/>
  <c r="AL47" i="8" s="1"/>
  <c r="AQ47" i="8" s="1"/>
  <c r="AA47" i="8"/>
  <c r="Z47" i="8"/>
  <c r="Y47" i="8"/>
  <c r="X47" i="8"/>
  <c r="W47" i="8"/>
  <c r="V47" i="8"/>
  <c r="U47" i="8"/>
  <c r="T47" i="8"/>
  <c r="S47" i="8"/>
  <c r="CO46" i="8"/>
  <c r="CN46" i="8"/>
  <c r="CM46" i="8"/>
  <c r="CL46" i="8"/>
  <c r="CF46" i="8"/>
  <c r="CA46" i="8"/>
  <c r="BP46" i="8"/>
  <c r="BN46" i="8"/>
  <c r="BI46" i="8"/>
  <c r="BH46" i="8"/>
  <c r="BF46" i="8"/>
  <c r="BC46" i="8"/>
  <c r="AV46" i="8"/>
  <c r="AU46" i="8"/>
  <c r="AS46" i="8"/>
  <c r="AN46" i="8"/>
  <c r="AM46" i="8"/>
  <c r="AK46" i="8"/>
  <c r="AH46" i="8"/>
  <c r="BO46" i="8" s="1"/>
  <c r="BQ46" i="8" s="1"/>
  <c r="BR46" i="8" s="1"/>
  <c r="AG46" i="8"/>
  <c r="AF46" i="8"/>
  <c r="AE46" i="8"/>
  <c r="AD46" i="8"/>
  <c r="AC46" i="8"/>
  <c r="AB46" i="8"/>
  <c r="AJ46" i="8" s="1"/>
  <c r="AO46" i="8" s="1"/>
  <c r="AP46" i="8" s="1"/>
  <c r="AA46" i="8"/>
  <c r="Z46" i="8"/>
  <c r="Y46" i="8"/>
  <c r="X46" i="8"/>
  <c r="W46" i="8"/>
  <c r="V46" i="8"/>
  <c r="U46" i="8"/>
  <c r="T46" i="8"/>
  <c r="S46" i="8"/>
  <c r="CN45" i="8"/>
  <c r="CO45" i="8" s="1"/>
  <c r="CL45" i="8"/>
  <c r="BP45" i="8"/>
  <c r="BN45" i="8"/>
  <c r="BI45" i="8"/>
  <c r="BH45" i="8"/>
  <c r="BF45" i="8"/>
  <c r="AU45" i="8"/>
  <c r="AS45" i="8"/>
  <c r="AN45" i="8"/>
  <c r="AM45" i="8"/>
  <c r="AK45" i="8"/>
  <c r="AG45" i="8"/>
  <c r="AF45" i="8"/>
  <c r="AE45" i="8"/>
  <c r="AD45" i="8"/>
  <c r="AC45" i="8"/>
  <c r="AA45" i="8"/>
  <c r="Z45" i="8"/>
  <c r="Y45" i="8"/>
  <c r="X45" i="8"/>
  <c r="W45" i="8"/>
  <c r="V45" i="8"/>
  <c r="U45" i="8"/>
  <c r="AV45" i="8" s="1"/>
  <c r="T45" i="8"/>
  <c r="S45" i="8"/>
  <c r="CN44" i="8"/>
  <c r="CL44" i="8"/>
  <c r="BP44" i="8"/>
  <c r="BN44" i="8"/>
  <c r="BI44" i="8"/>
  <c r="BH44" i="8"/>
  <c r="BF44" i="8"/>
  <c r="AU44" i="8"/>
  <c r="AS44" i="8"/>
  <c r="AN44" i="8"/>
  <c r="AM44" i="8"/>
  <c r="AK44" i="8"/>
  <c r="AG44" i="8"/>
  <c r="AF44" i="8"/>
  <c r="AE44" i="8"/>
  <c r="AD44" i="8"/>
  <c r="AC44" i="8"/>
  <c r="AA44" i="8"/>
  <c r="Z44" i="8"/>
  <c r="Y44" i="8"/>
  <c r="X44" i="8"/>
  <c r="W44" i="8"/>
  <c r="V44" i="8"/>
  <c r="U44" i="8"/>
  <c r="AV44" i="8" s="1"/>
  <c r="T44" i="8"/>
  <c r="S44" i="8"/>
  <c r="CN43" i="8"/>
  <c r="CO43" i="8" s="1"/>
  <c r="CL43" i="8"/>
  <c r="CM43" i="8" s="1"/>
  <c r="BP43" i="8"/>
  <c r="BN43" i="8"/>
  <c r="BI43" i="8"/>
  <c r="BH43" i="8"/>
  <c r="BF43" i="8"/>
  <c r="AV43" i="8"/>
  <c r="AU43" i="8"/>
  <c r="AS43" i="8"/>
  <c r="AN43" i="8"/>
  <c r="AM43" i="8"/>
  <c r="AK43" i="8"/>
  <c r="AG43" i="8"/>
  <c r="AF43" i="8"/>
  <c r="AE43" i="8"/>
  <c r="AD43" i="8"/>
  <c r="AC43" i="8"/>
  <c r="AA43" i="8"/>
  <c r="Z43" i="8"/>
  <c r="Y43" i="8"/>
  <c r="X43" i="8"/>
  <c r="W43" i="8"/>
  <c r="V43" i="8"/>
  <c r="U43" i="8"/>
  <c r="T43" i="8"/>
  <c r="S43" i="8"/>
  <c r="AV13" i="8"/>
  <c r="CI170" i="8" l="1"/>
  <c r="AJ145" i="8"/>
  <c r="AO145" i="8" s="1"/>
  <c r="AP145" i="8" s="1"/>
  <c r="AY176" i="8"/>
  <c r="AY185" i="8"/>
  <c r="AY241" i="8"/>
  <c r="BS77" i="8"/>
  <c r="AY91" i="8"/>
  <c r="CI203" i="8"/>
  <c r="BS265" i="8"/>
  <c r="BS137" i="8"/>
  <c r="CI150" i="8"/>
  <c r="BS242" i="8"/>
  <c r="BS258" i="8"/>
  <c r="BS266" i="8"/>
  <c r="BE169" i="8"/>
  <c r="BJ169" i="8" s="1"/>
  <c r="BK169" i="8" s="1"/>
  <c r="BX169" i="8" s="1"/>
  <c r="AJ259" i="8"/>
  <c r="AO259" i="8" s="1"/>
  <c r="AP259" i="8" s="1"/>
  <c r="BS48" i="8"/>
  <c r="AY51" i="8"/>
  <c r="CI154" i="8"/>
  <c r="AY169" i="8"/>
  <c r="AY184" i="8"/>
  <c r="AJ201" i="8"/>
  <c r="AO201" i="8" s="1"/>
  <c r="AP201" i="8" s="1"/>
  <c r="BB201" i="8" s="1"/>
  <c r="AJ64" i="8"/>
  <c r="AO64" i="8" s="1"/>
  <c r="AP64" i="8" s="1"/>
  <c r="AZ64" i="8" s="1"/>
  <c r="AH74" i="8"/>
  <c r="BG74" i="8" s="1"/>
  <c r="BL74" i="8" s="1"/>
  <c r="AJ111" i="8"/>
  <c r="AO111" i="8" s="1"/>
  <c r="AP111" i="8" s="1"/>
  <c r="BA111" i="8" s="1"/>
  <c r="AJ154" i="8"/>
  <c r="AO154" i="8" s="1"/>
  <c r="AP154" i="8" s="1"/>
  <c r="AY157" i="8"/>
  <c r="AH44" i="8"/>
  <c r="BO44" i="8" s="1"/>
  <c r="BQ44" i="8" s="1"/>
  <c r="BR44" i="8" s="1"/>
  <c r="BS44" i="8" s="1"/>
  <c r="CA44" i="8" s="1"/>
  <c r="AH224" i="8"/>
  <c r="BE224" i="8" s="1"/>
  <c r="BJ224" i="8" s="1"/>
  <c r="BK224" i="8" s="1"/>
  <c r="BZ224" i="8" s="1"/>
  <c r="AB105" i="8"/>
  <c r="AT105" i="8" s="1"/>
  <c r="AW105" i="8" s="1"/>
  <c r="AX105" i="8" s="1"/>
  <c r="AY105" i="8" s="1"/>
  <c r="BC105" i="8" s="1"/>
  <c r="CI51" i="8"/>
  <c r="BS52" i="8"/>
  <c r="AY62" i="8"/>
  <c r="AH73" i="8"/>
  <c r="BE73" i="8" s="1"/>
  <c r="BJ73" i="8" s="1"/>
  <c r="BK73" i="8" s="1"/>
  <c r="BT73" i="8" s="1"/>
  <c r="AB133" i="8"/>
  <c r="AT133" i="8" s="1"/>
  <c r="AW133" i="8" s="1"/>
  <c r="AX133" i="8" s="1"/>
  <c r="AY133" i="8" s="1"/>
  <c r="BC133" i="8" s="1"/>
  <c r="BS136" i="8"/>
  <c r="AY138" i="8"/>
  <c r="CI148" i="8"/>
  <c r="BS171" i="8"/>
  <c r="AH193" i="8"/>
  <c r="BE193" i="8" s="1"/>
  <c r="BJ193" i="8" s="1"/>
  <c r="BK193" i="8" s="1"/>
  <c r="BT193" i="8" s="1"/>
  <c r="AY208" i="8"/>
  <c r="BS229" i="8"/>
  <c r="AB253" i="8"/>
  <c r="AT253" i="8" s="1"/>
  <c r="AW253" i="8" s="1"/>
  <c r="AX253" i="8" s="1"/>
  <c r="AY253" i="8" s="1"/>
  <c r="BC253" i="8" s="1"/>
  <c r="BS286" i="8"/>
  <c r="CA286" i="8" s="1"/>
  <c r="CI286" i="8" s="1"/>
  <c r="AT291" i="8"/>
  <c r="AW291" i="8" s="1"/>
  <c r="AX291" i="8" s="1"/>
  <c r="AY291" i="8" s="1"/>
  <c r="AJ300" i="8"/>
  <c r="AO300" i="8" s="1"/>
  <c r="AP300" i="8" s="1"/>
  <c r="BB300" i="8" s="1"/>
  <c r="AY297" i="8"/>
  <c r="AT54" i="8"/>
  <c r="AW54" i="8" s="1"/>
  <c r="AX54" i="8" s="1"/>
  <c r="AY54" i="8" s="1"/>
  <c r="AY97" i="8"/>
  <c r="AY124" i="8"/>
  <c r="AY146" i="8"/>
  <c r="AH163" i="8"/>
  <c r="BE163" i="8" s="1"/>
  <c r="BJ163" i="8" s="1"/>
  <c r="BK163" i="8" s="1"/>
  <c r="BS169" i="8"/>
  <c r="AY300" i="8"/>
  <c r="AJ307" i="8"/>
  <c r="AO307" i="8" s="1"/>
  <c r="AP307" i="8" s="1"/>
  <c r="BY307" i="8" s="1"/>
  <c r="BG277" i="8"/>
  <c r="BL277" i="8" s="1"/>
  <c r="AJ60" i="8"/>
  <c r="AO60" i="8" s="1"/>
  <c r="AP60" i="8" s="1"/>
  <c r="BY60" i="8" s="1"/>
  <c r="BS144" i="8"/>
  <c r="AY171" i="8"/>
  <c r="AH255" i="8"/>
  <c r="BE255" i="8" s="1"/>
  <c r="BJ255" i="8" s="1"/>
  <c r="BK255" i="8" s="1"/>
  <c r="AY263" i="8"/>
  <c r="BO277" i="8"/>
  <c r="BQ277" i="8" s="1"/>
  <c r="BR277" i="8" s="1"/>
  <c r="BS277" i="8" s="1"/>
  <c r="BO307" i="8"/>
  <c r="BQ307" i="8" s="1"/>
  <c r="BR307" i="8" s="1"/>
  <c r="BS307" i="8" s="1"/>
  <c r="AJ306" i="8"/>
  <c r="AO306" i="8" s="1"/>
  <c r="AP306" i="8" s="1"/>
  <c r="BA306" i="8" s="1"/>
  <c r="AY136" i="8"/>
  <c r="AL151" i="8"/>
  <c r="AQ151" i="8" s="1"/>
  <c r="BS66" i="8"/>
  <c r="BS146" i="8"/>
  <c r="BS168" i="8"/>
  <c r="BS198" i="8"/>
  <c r="AT287" i="8"/>
  <c r="AW287" i="8" s="1"/>
  <c r="AX287" i="8" s="1"/>
  <c r="AY287" i="8" s="1"/>
  <c r="BO150" i="8"/>
  <c r="BQ150" i="8" s="1"/>
  <c r="BR150" i="8" s="1"/>
  <c r="BG206" i="8"/>
  <c r="BL206" i="8" s="1"/>
  <c r="BO206" i="8"/>
  <c r="BQ206" i="8" s="1"/>
  <c r="BR206" i="8" s="1"/>
  <c r="BS206" i="8" s="1"/>
  <c r="BG55" i="8"/>
  <c r="BL55" i="8" s="1"/>
  <c r="AJ62" i="8"/>
  <c r="AO62" i="8" s="1"/>
  <c r="AP62" i="8" s="1"/>
  <c r="AZ62" i="8" s="1"/>
  <c r="AJ79" i="8"/>
  <c r="AO79" i="8" s="1"/>
  <c r="AP79" i="8" s="1"/>
  <c r="BB79" i="8" s="1"/>
  <c r="BV93" i="8"/>
  <c r="AH104" i="8"/>
  <c r="BO104" i="8" s="1"/>
  <c r="BQ104" i="8" s="1"/>
  <c r="BR104" i="8" s="1"/>
  <c r="BS104" i="8" s="1"/>
  <c r="CA104" i="8" s="1"/>
  <c r="BG116" i="8"/>
  <c r="BL116" i="8" s="1"/>
  <c r="AL123" i="8"/>
  <c r="AQ123" i="8" s="1"/>
  <c r="BG154" i="8"/>
  <c r="BL154" i="8" s="1"/>
  <c r="AH165" i="8"/>
  <c r="BO165" i="8" s="1"/>
  <c r="BQ165" i="8" s="1"/>
  <c r="BR165" i="8" s="1"/>
  <c r="BS165" i="8" s="1"/>
  <c r="CA165" i="8" s="1"/>
  <c r="BO173" i="8"/>
  <c r="BQ173" i="8" s="1"/>
  <c r="BR173" i="8" s="1"/>
  <c r="BS173" i="8" s="1"/>
  <c r="AJ174" i="8"/>
  <c r="AO174" i="8" s="1"/>
  <c r="AP174" i="8" s="1"/>
  <c r="BA174" i="8" s="1"/>
  <c r="BO215" i="8"/>
  <c r="BQ215" i="8" s="1"/>
  <c r="BR215" i="8" s="1"/>
  <c r="BS215" i="8" s="1"/>
  <c r="CI230" i="8"/>
  <c r="BG233" i="8"/>
  <c r="BL233" i="8" s="1"/>
  <c r="BO233" i="8"/>
  <c r="BQ233" i="8" s="1"/>
  <c r="BR233" i="8" s="1"/>
  <c r="BS233" i="8" s="1"/>
  <c r="BO274" i="8"/>
  <c r="BQ274" i="8" s="1"/>
  <c r="BR274" i="8" s="1"/>
  <c r="BS274" i="8" s="1"/>
  <c r="BG275" i="8"/>
  <c r="BL275" i="8" s="1"/>
  <c r="AH284" i="8"/>
  <c r="BG284" i="8" s="1"/>
  <c r="BL284" i="8" s="1"/>
  <c r="BG287" i="8"/>
  <c r="BL287" i="8" s="1"/>
  <c r="BO287" i="8"/>
  <c r="BQ287" i="8" s="1"/>
  <c r="BR287" i="8" s="1"/>
  <c r="BS287" i="8" s="1"/>
  <c r="BG150" i="8"/>
  <c r="BL150" i="8" s="1"/>
  <c r="BO180" i="8"/>
  <c r="BQ180" i="8" s="1"/>
  <c r="BR180" i="8" s="1"/>
  <c r="BS180" i="8" s="1"/>
  <c r="BG237" i="8"/>
  <c r="BL237" i="8" s="1"/>
  <c r="BG244" i="8"/>
  <c r="BL244" i="8" s="1"/>
  <c r="BO244" i="8"/>
  <c r="BQ244" i="8" s="1"/>
  <c r="BR244" i="8" s="1"/>
  <c r="BS244" i="8" s="1"/>
  <c r="BG273" i="8"/>
  <c r="BL273" i="8" s="1"/>
  <c r="BO300" i="8"/>
  <c r="BQ300" i="8" s="1"/>
  <c r="BR300" i="8" s="1"/>
  <c r="BS300" i="8" s="1"/>
  <c r="BV91" i="8"/>
  <c r="BG94" i="8"/>
  <c r="BL94" i="8" s="1"/>
  <c r="BO94" i="8"/>
  <c r="BQ94" i="8" s="1"/>
  <c r="BR94" i="8" s="1"/>
  <c r="BS94" i="8" s="1"/>
  <c r="BG110" i="8"/>
  <c r="BL110" i="8" s="1"/>
  <c r="BO110" i="8"/>
  <c r="BQ110" i="8" s="1"/>
  <c r="BR110" i="8" s="1"/>
  <c r="BS110" i="8" s="1"/>
  <c r="BO117" i="8"/>
  <c r="BQ117" i="8" s="1"/>
  <c r="BR117" i="8" s="1"/>
  <c r="BS117" i="8" s="1"/>
  <c r="CI157" i="8"/>
  <c r="BG175" i="8"/>
  <c r="BL175" i="8" s="1"/>
  <c r="CI177" i="8"/>
  <c r="CI202" i="8"/>
  <c r="BO216" i="8"/>
  <c r="BQ216" i="8" s="1"/>
  <c r="BR216" i="8" s="1"/>
  <c r="BS216" i="8" s="1"/>
  <c r="CI296" i="8"/>
  <c r="BU247" i="8"/>
  <c r="BV247" i="8"/>
  <c r="BU97" i="8"/>
  <c r="BV97" i="8"/>
  <c r="BO61" i="8"/>
  <c r="BQ61" i="8" s="1"/>
  <c r="BR61" i="8" s="1"/>
  <c r="BS61" i="8" s="1"/>
  <c r="BE80" i="8"/>
  <c r="BJ80" i="8" s="1"/>
  <c r="BK80" i="8" s="1"/>
  <c r="BZ80" i="8" s="1"/>
  <c r="BO80" i="8"/>
  <c r="BQ80" i="8" s="1"/>
  <c r="BR80" i="8" s="1"/>
  <c r="BS80" i="8" s="1"/>
  <c r="BG80" i="8"/>
  <c r="BL80" i="8" s="1"/>
  <c r="BO96" i="8"/>
  <c r="BQ96" i="8" s="1"/>
  <c r="BR96" i="8" s="1"/>
  <c r="BS96" i="8" s="1"/>
  <c r="BE113" i="8"/>
  <c r="BJ113" i="8" s="1"/>
  <c r="BK113" i="8" s="1"/>
  <c r="BU113" i="8" s="1"/>
  <c r="BO113" i="8"/>
  <c r="BQ113" i="8" s="1"/>
  <c r="BR113" i="8" s="1"/>
  <c r="BS113" i="8" s="1"/>
  <c r="AT149" i="8"/>
  <c r="AW149" i="8" s="1"/>
  <c r="AX149" i="8" s="1"/>
  <c r="AY149" i="8" s="1"/>
  <c r="AJ149" i="8"/>
  <c r="AO149" i="8" s="1"/>
  <c r="AP149" i="8" s="1"/>
  <c r="BY149" i="8" s="1"/>
  <c r="AT215" i="8"/>
  <c r="AW215" i="8" s="1"/>
  <c r="AX215" i="8" s="1"/>
  <c r="AY215" i="8" s="1"/>
  <c r="AJ215" i="8"/>
  <c r="AO215" i="8" s="1"/>
  <c r="AP215" i="8" s="1"/>
  <c r="BB215" i="8" s="1"/>
  <c r="AL274" i="8"/>
  <c r="AQ274" i="8" s="1"/>
  <c r="AL275" i="8"/>
  <c r="AQ275" i="8" s="1"/>
  <c r="BE304" i="8"/>
  <c r="BJ304" i="8" s="1"/>
  <c r="BK304" i="8" s="1"/>
  <c r="BZ304" i="8" s="1"/>
  <c r="BO304" i="8"/>
  <c r="BQ304" i="8" s="1"/>
  <c r="BR304" i="8" s="1"/>
  <c r="BS304" i="8" s="1"/>
  <c r="CI59" i="8"/>
  <c r="BE64" i="8"/>
  <c r="BJ64" i="8" s="1"/>
  <c r="BK64" i="8" s="1"/>
  <c r="BV64" i="8" s="1"/>
  <c r="AL66" i="8"/>
  <c r="AQ66" i="8" s="1"/>
  <c r="CI91" i="8"/>
  <c r="CI106" i="8"/>
  <c r="AT109" i="8"/>
  <c r="AW109" i="8" s="1"/>
  <c r="AX109" i="8" s="1"/>
  <c r="AY109" i="8" s="1"/>
  <c r="AL109" i="8"/>
  <c r="AQ109" i="8" s="1"/>
  <c r="AB45" i="8"/>
  <c r="AL45" i="8" s="1"/>
  <c r="AQ45" i="8" s="1"/>
  <c r="CI49" i="8"/>
  <c r="AT55" i="8"/>
  <c r="AW55" i="8" s="1"/>
  <c r="AX55" i="8" s="1"/>
  <c r="AY55" i="8" s="1"/>
  <c r="BE55" i="8"/>
  <c r="BJ55" i="8" s="1"/>
  <c r="BK55" i="8" s="1"/>
  <c r="BU55" i="8" s="1"/>
  <c r="BG59" i="8"/>
  <c r="BL59" i="8" s="1"/>
  <c r="AJ66" i="8"/>
  <c r="AO66" i="8" s="1"/>
  <c r="AP66" i="8" s="1"/>
  <c r="AZ66" i="8" s="1"/>
  <c r="AB75" i="8"/>
  <c r="AL75" i="8" s="1"/>
  <c r="AQ75" i="8" s="1"/>
  <c r="AT107" i="8"/>
  <c r="AW107" i="8" s="1"/>
  <c r="AX107" i="8" s="1"/>
  <c r="AY107" i="8" s="1"/>
  <c r="AJ107" i="8"/>
  <c r="AO107" i="8" s="1"/>
  <c r="AP107" i="8" s="1"/>
  <c r="BA107" i="8" s="1"/>
  <c r="AL107" i="8"/>
  <c r="AQ107" i="8" s="1"/>
  <c r="BG121" i="8"/>
  <c r="BL121" i="8" s="1"/>
  <c r="BO121" i="8"/>
  <c r="BQ121" i="8" s="1"/>
  <c r="BR121" i="8" s="1"/>
  <c r="BS121" i="8" s="1"/>
  <c r="AL150" i="8"/>
  <c r="AQ150" i="8" s="1"/>
  <c r="AJ150" i="8"/>
  <c r="AO150" i="8" s="1"/>
  <c r="AP150" i="8" s="1"/>
  <c r="AZ150" i="8" s="1"/>
  <c r="BE152" i="8"/>
  <c r="BJ152" i="8" s="1"/>
  <c r="BK152" i="8" s="1"/>
  <c r="BT152" i="8" s="1"/>
  <c r="BG152" i="8"/>
  <c r="BL152" i="8" s="1"/>
  <c r="AT183" i="8"/>
  <c r="AW183" i="8" s="1"/>
  <c r="AX183" i="8" s="1"/>
  <c r="AY183" i="8" s="1"/>
  <c r="AL183" i="8"/>
  <c r="AQ183" i="8" s="1"/>
  <c r="AT186" i="8"/>
  <c r="AW186" i="8" s="1"/>
  <c r="AX186" i="8" s="1"/>
  <c r="AY186" i="8" s="1"/>
  <c r="AJ186" i="8"/>
  <c r="AO186" i="8" s="1"/>
  <c r="AP186" i="8" s="1"/>
  <c r="BW186" i="8" s="1"/>
  <c r="AL186" i="8"/>
  <c r="AQ186" i="8" s="1"/>
  <c r="BE196" i="8"/>
  <c r="BJ196" i="8" s="1"/>
  <c r="BK196" i="8" s="1"/>
  <c r="BX196" i="8" s="1"/>
  <c r="BO196" i="8"/>
  <c r="BQ196" i="8" s="1"/>
  <c r="BR196" i="8" s="1"/>
  <c r="BS196" i="8" s="1"/>
  <c r="BE204" i="8"/>
  <c r="BJ204" i="8" s="1"/>
  <c r="BK204" i="8" s="1"/>
  <c r="BZ204" i="8" s="1"/>
  <c r="BO204" i="8"/>
  <c r="BQ204" i="8" s="1"/>
  <c r="BR204" i="8" s="1"/>
  <c r="BS204" i="8" s="1"/>
  <c r="BG204" i="8"/>
  <c r="BL204" i="8" s="1"/>
  <c r="AT210" i="8"/>
  <c r="AW210" i="8" s="1"/>
  <c r="AX210" i="8" s="1"/>
  <c r="AY210" i="8" s="1"/>
  <c r="AJ210" i="8"/>
  <c r="AO210" i="8" s="1"/>
  <c r="AP210" i="8" s="1"/>
  <c r="BA210" i="8" s="1"/>
  <c r="AL210" i="8"/>
  <c r="AQ210" i="8" s="1"/>
  <c r="BE212" i="8"/>
  <c r="BJ212" i="8" s="1"/>
  <c r="BK212" i="8" s="1"/>
  <c r="BU212" i="8" s="1"/>
  <c r="BO212" i="8"/>
  <c r="BQ212" i="8" s="1"/>
  <c r="BR212" i="8" s="1"/>
  <c r="BS212" i="8" s="1"/>
  <c r="CI212" i="8"/>
  <c r="AH225" i="8"/>
  <c r="BG225" i="8" s="1"/>
  <c r="BL225" i="8" s="1"/>
  <c r="AL257" i="8"/>
  <c r="AQ257" i="8" s="1"/>
  <c r="AT257" i="8"/>
  <c r="AW257" i="8" s="1"/>
  <c r="AX257" i="8" s="1"/>
  <c r="AY257" i="8" s="1"/>
  <c r="AT259" i="8"/>
  <c r="AW259" i="8" s="1"/>
  <c r="AX259" i="8" s="1"/>
  <c r="AY259" i="8" s="1"/>
  <c r="AL277" i="8"/>
  <c r="AQ277" i="8" s="1"/>
  <c r="BE120" i="8"/>
  <c r="BJ120" i="8" s="1"/>
  <c r="BK120" i="8" s="1"/>
  <c r="BZ120" i="8" s="1"/>
  <c r="BO120" i="8"/>
  <c r="BQ120" i="8" s="1"/>
  <c r="BR120" i="8" s="1"/>
  <c r="BS120" i="8" s="1"/>
  <c r="AL149" i="8"/>
  <c r="AQ149" i="8" s="1"/>
  <c r="BO172" i="8"/>
  <c r="BQ172" i="8" s="1"/>
  <c r="BR172" i="8" s="1"/>
  <c r="BS172" i="8" s="1"/>
  <c r="AL215" i="8"/>
  <c r="AQ215" i="8" s="1"/>
  <c r="BO119" i="8"/>
  <c r="BQ119" i="8" s="1"/>
  <c r="BR119" i="8" s="1"/>
  <c r="BS119" i="8" s="1"/>
  <c r="BE177" i="8"/>
  <c r="BJ177" i="8" s="1"/>
  <c r="BK177" i="8" s="1"/>
  <c r="BT177" i="8" s="1"/>
  <c r="BO177" i="8"/>
  <c r="BQ177" i="8" s="1"/>
  <c r="BR177" i="8" s="1"/>
  <c r="BG177" i="8"/>
  <c r="BL177" i="8" s="1"/>
  <c r="BE202" i="8"/>
  <c r="BJ202" i="8" s="1"/>
  <c r="BK202" i="8" s="1"/>
  <c r="BG202" i="8"/>
  <c r="BL202" i="8" s="1"/>
  <c r="AT301" i="8"/>
  <c r="AW301" i="8" s="1"/>
  <c r="AX301" i="8" s="1"/>
  <c r="AY301" i="8" s="1"/>
  <c r="AL301" i="8"/>
  <c r="AQ301" i="8" s="1"/>
  <c r="AL302" i="8"/>
  <c r="AQ302" i="8" s="1"/>
  <c r="AB44" i="8"/>
  <c r="AJ44" i="8" s="1"/>
  <c r="AO44" i="8" s="1"/>
  <c r="AP44" i="8" s="1"/>
  <c r="BW44" i="8" s="1"/>
  <c r="CI67" i="8"/>
  <c r="AL78" i="8"/>
  <c r="AQ78" i="8" s="1"/>
  <c r="CI78" i="8"/>
  <c r="AL79" i="8"/>
  <c r="AQ79" i="8" s="1"/>
  <c r="CI93" i="8"/>
  <c r="CI97" i="8"/>
  <c r="BE106" i="8"/>
  <c r="BJ106" i="8" s="1"/>
  <c r="BK106" i="8" s="1"/>
  <c r="BZ106" i="8" s="1"/>
  <c r="BO106" i="8"/>
  <c r="BQ106" i="8" s="1"/>
  <c r="BR106" i="8" s="1"/>
  <c r="BS106" i="8" s="1"/>
  <c r="BG106" i="8"/>
  <c r="BL106" i="8" s="1"/>
  <c r="AT108" i="8"/>
  <c r="AW108" i="8" s="1"/>
  <c r="AX108" i="8" s="1"/>
  <c r="AY108" i="8" s="1"/>
  <c r="AL108" i="8"/>
  <c r="AQ108" i="8" s="1"/>
  <c r="BE111" i="8"/>
  <c r="BJ111" i="8" s="1"/>
  <c r="BK111" i="8" s="1"/>
  <c r="BZ111" i="8" s="1"/>
  <c r="BO111" i="8"/>
  <c r="BQ111" i="8" s="1"/>
  <c r="BR111" i="8" s="1"/>
  <c r="BS111" i="8" s="1"/>
  <c r="BE126" i="8"/>
  <c r="BJ126" i="8" s="1"/>
  <c r="BK126" i="8" s="1"/>
  <c r="BZ126" i="8" s="1"/>
  <c r="BO126" i="8"/>
  <c r="BQ126" i="8" s="1"/>
  <c r="BR126" i="8" s="1"/>
  <c r="BS126" i="8" s="1"/>
  <c r="CI126" i="8"/>
  <c r="BO141" i="8"/>
  <c r="BQ141" i="8" s="1"/>
  <c r="BR141" i="8" s="1"/>
  <c r="BG142" i="8"/>
  <c r="BL142" i="8" s="1"/>
  <c r="AT145" i="8"/>
  <c r="AW145" i="8" s="1"/>
  <c r="AX145" i="8" s="1"/>
  <c r="AT150" i="8"/>
  <c r="AW150" i="8" s="1"/>
  <c r="AX150" i="8" s="1"/>
  <c r="AY150" i="8" s="1"/>
  <c r="BU153" i="8"/>
  <c r="AT154" i="8"/>
  <c r="AW154" i="8" s="1"/>
  <c r="AX154" i="8" s="1"/>
  <c r="AY154" i="8" s="1"/>
  <c r="BG176" i="8"/>
  <c r="BL176" i="8" s="1"/>
  <c r="BO176" i="8"/>
  <c r="BQ176" i="8" s="1"/>
  <c r="BR176" i="8" s="1"/>
  <c r="BO179" i="8"/>
  <c r="BQ179" i="8" s="1"/>
  <c r="BR179" i="8" s="1"/>
  <c r="AJ183" i="8"/>
  <c r="AO183" i="8" s="1"/>
  <c r="AP183" i="8" s="1"/>
  <c r="BW183" i="8" s="1"/>
  <c r="AT187" i="8"/>
  <c r="AW187" i="8" s="1"/>
  <c r="AX187" i="8" s="1"/>
  <c r="AJ187" i="8"/>
  <c r="AO187" i="8" s="1"/>
  <c r="AP187" i="8" s="1"/>
  <c r="BA187" i="8" s="1"/>
  <c r="AL187" i="8"/>
  <c r="AQ187" i="8" s="1"/>
  <c r="BE209" i="8"/>
  <c r="BJ209" i="8" s="1"/>
  <c r="BK209" i="8" s="1"/>
  <c r="BX209" i="8" s="1"/>
  <c r="BO209" i="8"/>
  <c r="BQ209" i="8" s="1"/>
  <c r="BR209" i="8" s="1"/>
  <c r="BS209" i="8" s="1"/>
  <c r="BG209" i="8"/>
  <c r="BL209" i="8" s="1"/>
  <c r="CI247" i="8"/>
  <c r="BO260" i="8"/>
  <c r="BQ260" i="8" s="1"/>
  <c r="BR260" i="8" s="1"/>
  <c r="BG260" i="8"/>
  <c r="BL260" i="8" s="1"/>
  <c r="AB284" i="8"/>
  <c r="AT284" i="8" s="1"/>
  <c r="AW284" i="8" s="1"/>
  <c r="AX284" i="8" s="1"/>
  <c r="AY284" i="8" s="1"/>
  <c r="BC284" i="8" s="1"/>
  <c r="BO288" i="8"/>
  <c r="BQ288" i="8" s="1"/>
  <c r="BR288" i="8" s="1"/>
  <c r="BS288" i="8" s="1"/>
  <c r="BG288" i="8"/>
  <c r="BL288" i="8" s="1"/>
  <c r="BE288" i="8"/>
  <c r="BJ288" i="8" s="1"/>
  <c r="BK288" i="8" s="1"/>
  <c r="BT288" i="8" s="1"/>
  <c r="BE303" i="8"/>
  <c r="BJ303" i="8" s="1"/>
  <c r="BK303" i="8" s="1"/>
  <c r="BT303" i="8" s="1"/>
  <c r="BG303" i="8"/>
  <c r="BL303" i="8" s="1"/>
  <c r="BE305" i="8"/>
  <c r="BJ305" i="8" s="1"/>
  <c r="BK305" i="8" s="1"/>
  <c r="BO305" i="8"/>
  <c r="BQ305" i="8" s="1"/>
  <c r="BR305" i="8" s="1"/>
  <c r="BS305" i="8" s="1"/>
  <c r="CI145" i="8"/>
  <c r="CI146" i="8"/>
  <c r="CI167" i="8"/>
  <c r="CI208" i="8"/>
  <c r="AB223" i="8"/>
  <c r="AT223" i="8" s="1"/>
  <c r="AW223" i="8" s="1"/>
  <c r="AX223" i="8" s="1"/>
  <c r="AY223" i="8" s="1"/>
  <c r="BC223" i="8" s="1"/>
  <c r="CI228" i="8"/>
  <c r="BE237" i="8"/>
  <c r="BJ237" i="8" s="1"/>
  <c r="BK237" i="8" s="1"/>
  <c r="BT237" i="8" s="1"/>
  <c r="AT260" i="8"/>
  <c r="AW260" i="8" s="1"/>
  <c r="AX260" i="8" s="1"/>
  <c r="AY260" i="8" s="1"/>
  <c r="CI82" i="8"/>
  <c r="BG87" i="8"/>
  <c r="BL87" i="8" s="1"/>
  <c r="BG92" i="8"/>
  <c r="BL92" i="8" s="1"/>
  <c r="BO92" i="8"/>
  <c r="BQ92" i="8" s="1"/>
  <c r="BR92" i="8" s="1"/>
  <c r="BS92" i="8" s="1"/>
  <c r="AH105" i="8"/>
  <c r="BE105" i="8" s="1"/>
  <c r="BJ105" i="8" s="1"/>
  <c r="BK105" i="8" s="1"/>
  <c r="BT105" i="8" s="1"/>
  <c r="AL111" i="8"/>
  <c r="AQ111" i="8" s="1"/>
  <c r="BG114" i="8"/>
  <c r="BL114" i="8" s="1"/>
  <c r="BO114" i="8"/>
  <c r="BQ114" i="8" s="1"/>
  <c r="BR114" i="8" s="1"/>
  <c r="BS114" i="8" s="1"/>
  <c r="BO115" i="8"/>
  <c r="BQ115" i="8" s="1"/>
  <c r="BR115" i="8" s="1"/>
  <c r="BS115" i="8" s="1"/>
  <c r="AL118" i="8"/>
  <c r="AQ118" i="8" s="1"/>
  <c r="AL120" i="8"/>
  <c r="AQ120" i="8" s="1"/>
  <c r="BO127" i="8"/>
  <c r="BQ127" i="8" s="1"/>
  <c r="BR127" i="8" s="1"/>
  <c r="BS127" i="8" s="1"/>
  <c r="AH133" i="8"/>
  <c r="BO133" i="8" s="1"/>
  <c r="BQ133" i="8" s="1"/>
  <c r="BR133" i="8" s="1"/>
  <c r="BS133" i="8" s="1"/>
  <c r="CA133" i="8" s="1"/>
  <c r="AB134" i="8"/>
  <c r="AT134" i="8" s="1"/>
  <c r="AW134" i="8" s="1"/>
  <c r="AX134" i="8" s="1"/>
  <c r="AY134" i="8" s="1"/>
  <c r="BC134" i="8" s="1"/>
  <c r="AL174" i="8"/>
  <c r="AQ174" i="8" s="1"/>
  <c r="AL176" i="8"/>
  <c r="AQ176" i="8" s="1"/>
  <c r="CI184" i="8"/>
  <c r="BO185" i="8"/>
  <c r="BQ185" i="8" s="1"/>
  <c r="BR185" i="8" s="1"/>
  <c r="CI196" i="8"/>
  <c r="AL201" i="8"/>
  <c r="AQ201" i="8" s="1"/>
  <c r="AL208" i="8"/>
  <c r="AQ208" i="8" s="1"/>
  <c r="BO214" i="8"/>
  <c r="BQ214" i="8" s="1"/>
  <c r="BR214" i="8" s="1"/>
  <c r="BS214" i="8" s="1"/>
  <c r="BE228" i="8"/>
  <c r="BJ228" i="8" s="1"/>
  <c r="BK228" i="8" s="1"/>
  <c r="BU228" i="8" s="1"/>
  <c r="CI236" i="8"/>
  <c r="BO238" i="8"/>
  <c r="BQ238" i="8" s="1"/>
  <c r="BR238" i="8" s="1"/>
  <c r="BS238" i="8" s="1"/>
  <c r="CI240" i="8"/>
  <c r="CI245" i="8"/>
  <c r="BG246" i="8"/>
  <c r="BL246" i="8" s="1"/>
  <c r="AH253" i="8"/>
  <c r="BO253" i="8" s="1"/>
  <c r="BQ253" i="8" s="1"/>
  <c r="BR253" i="8" s="1"/>
  <c r="BS253" i="8" s="1"/>
  <c r="CA253" i="8" s="1"/>
  <c r="CI256" i="8"/>
  <c r="CI259" i="8"/>
  <c r="AL271" i="8"/>
  <c r="AQ271" i="8" s="1"/>
  <c r="AT271" i="8"/>
  <c r="AW271" i="8" s="1"/>
  <c r="AX271" i="8" s="1"/>
  <c r="AY271" i="8" s="1"/>
  <c r="BG301" i="8"/>
  <c r="BL301" i="8" s="1"/>
  <c r="AL303" i="8"/>
  <c r="AQ303" i="8" s="1"/>
  <c r="AL304" i="8"/>
  <c r="AQ304" i="8" s="1"/>
  <c r="AL305" i="8"/>
  <c r="AQ305" i="8" s="1"/>
  <c r="AB73" i="8"/>
  <c r="AL73" i="8" s="1"/>
  <c r="AQ73" i="8" s="1"/>
  <c r="AH75" i="8"/>
  <c r="BO75" i="8" s="1"/>
  <c r="BQ75" i="8" s="1"/>
  <c r="BR75" i="8" s="1"/>
  <c r="BS75" i="8" s="1"/>
  <c r="CA75" i="8" s="1"/>
  <c r="AH45" i="8"/>
  <c r="BO45" i="8" s="1"/>
  <c r="BQ45" i="8" s="1"/>
  <c r="BR45" i="8" s="1"/>
  <c r="BS45" i="8" s="1"/>
  <c r="CA45" i="8" s="1"/>
  <c r="AB43" i="8"/>
  <c r="AL43" i="8" s="1"/>
  <c r="AQ43" i="8" s="1"/>
  <c r="CI127" i="8"/>
  <c r="CI56" i="8"/>
  <c r="CI65" i="8"/>
  <c r="CI111" i="8"/>
  <c r="CI169" i="8"/>
  <c r="CI229" i="8"/>
  <c r="CI265" i="8"/>
  <c r="CI269" i="8"/>
  <c r="CI288" i="8"/>
  <c r="CI289" i="8"/>
  <c r="CI290" i="8"/>
  <c r="CI295" i="8"/>
  <c r="CI85" i="8"/>
  <c r="CI176" i="8"/>
  <c r="CI217" i="8"/>
  <c r="CI116" i="8"/>
  <c r="CI118" i="8"/>
  <c r="AW254" i="8"/>
  <c r="AX254" i="8" s="1"/>
  <c r="AY254" i="8" s="1"/>
  <c r="BC254" i="8" s="1"/>
  <c r="CI264" i="8"/>
  <c r="CI292" i="8"/>
  <c r="CI61" i="8"/>
  <c r="AY93" i="8"/>
  <c r="CI46" i="8"/>
  <c r="CI47" i="8"/>
  <c r="CI48" i="8"/>
  <c r="CI55" i="8"/>
  <c r="CI94" i="8"/>
  <c r="CI95" i="8"/>
  <c r="CI109" i="8"/>
  <c r="CI137" i="8"/>
  <c r="CI140" i="8"/>
  <c r="CI143" i="8"/>
  <c r="CI152" i="8"/>
  <c r="CI153" i="8"/>
  <c r="CI180" i="8"/>
  <c r="CI185" i="8"/>
  <c r="CI209" i="8"/>
  <c r="CI231" i="8"/>
  <c r="CI234" i="8"/>
  <c r="CI235" i="8"/>
  <c r="AY239" i="8"/>
  <c r="CI242" i="8"/>
  <c r="AY243" i="8"/>
  <c r="CI243" i="8"/>
  <c r="CI257" i="8"/>
  <c r="CI258" i="8"/>
  <c r="CI260" i="8"/>
  <c r="CI263" i="8"/>
  <c r="CI271" i="8"/>
  <c r="CI120" i="8"/>
  <c r="CI172" i="8"/>
  <c r="CI173" i="8"/>
  <c r="CI210" i="8"/>
  <c r="CI244" i="8"/>
  <c r="CI50" i="8"/>
  <c r="CI57" i="8"/>
  <c r="CI60" i="8"/>
  <c r="CI76" i="8"/>
  <c r="CI83" i="8"/>
  <c r="CI86" i="8"/>
  <c r="CI112" i="8"/>
  <c r="CI123" i="8"/>
  <c r="CI136" i="8"/>
  <c r="CI147" i="8"/>
  <c r="CI155" i="8"/>
  <c r="CI168" i="8"/>
  <c r="AZ176" i="8"/>
  <c r="CI197" i="8"/>
  <c r="BS200" i="8"/>
  <c r="CI213" i="8"/>
  <c r="BU241" i="8"/>
  <c r="CI291" i="8"/>
  <c r="CI297" i="8"/>
  <c r="CI307" i="8"/>
  <c r="BU95" i="8"/>
  <c r="BV95" i="8"/>
  <c r="BX59" i="8"/>
  <c r="BT59" i="8"/>
  <c r="AT117" i="8"/>
  <c r="AW117" i="8" s="1"/>
  <c r="AX117" i="8" s="1"/>
  <c r="AY117" i="8" s="1"/>
  <c r="AL117" i="8"/>
  <c r="AQ117" i="8" s="1"/>
  <c r="BU169" i="8"/>
  <c r="AT182" i="8"/>
  <c r="AW182" i="8" s="1"/>
  <c r="AX182" i="8" s="1"/>
  <c r="AY182" i="8" s="1"/>
  <c r="AJ182" i="8"/>
  <c r="AO182" i="8" s="1"/>
  <c r="AP182" i="8" s="1"/>
  <c r="BY182" i="8" s="1"/>
  <c r="BE213" i="8"/>
  <c r="BJ213" i="8" s="1"/>
  <c r="BK213" i="8" s="1"/>
  <c r="BX213" i="8" s="1"/>
  <c r="BG213" i="8"/>
  <c r="BL213" i="8" s="1"/>
  <c r="BO213" i="8"/>
  <c r="BQ213" i="8" s="1"/>
  <c r="BR213" i="8" s="1"/>
  <c r="BS213" i="8" s="1"/>
  <c r="AY49" i="8"/>
  <c r="AL86" i="8"/>
  <c r="AQ86" i="8" s="1"/>
  <c r="CI119" i="8"/>
  <c r="AJ142" i="8"/>
  <c r="AO142" i="8" s="1"/>
  <c r="AP142" i="8" s="1"/>
  <c r="BB142" i="8" s="1"/>
  <c r="AT142" i="8"/>
  <c r="AW142" i="8" s="1"/>
  <c r="AX142" i="8" s="1"/>
  <c r="AY142" i="8" s="1"/>
  <c r="BO145" i="8"/>
  <c r="BQ145" i="8" s="1"/>
  <c r="BR145" i="8" s="1"/>
  <c r="BS145" i="8" s="1"/>
  <c r="BG145" i="8"/>
  <c r="BL145" i="8" s="1"/>
  <c r="BS148" i="8"/>
  <c r="CI149" i="8"/>
  <c r="AT172" i="8"/>
  <c r="AW172" i="8" s="1"/>
  <c r="AX172" i="8" s="1"/>
  <c r="AY172" i="8" s="1"/>
  <c r="AJ172" i="8"/>
  <c r="AO172" i="8" s="1"/>
  <c r="AP172" i="8" s="1"/>
  <c r="BB172" i="8" s="1"/>
  <c r="AL172" i="8"/>
  <c r="AQ172" i="8" s="1"/>
  <c r="CI199" i="8"/>
  <c r="AT204" i="8"/>
  <c r="AW204" i="8" s="1"/>
  <c r="AX204" i="8" s="1"/>
  <c r="AY204" i="8" s="1"/>
  <c r="AJ204" i="8"/>
  <c r="AO204" i="8" s="1"/>
  <c r="AP204" i="8" s="1"/>
  <c r="BA204" i="8" s="1"/>
  <c r="AL204" i="8"/>
  <c r="AQ204" i="8" s="1"/>
  <c r="BO234" i="8"/>
  <c r="BQ234" i="8" s="1"/>
  <c r="BR234" i="8" s="1"/>
  <c r="BS234" i="8" s="1"/>
  <c r="BG234" i="8"/>
  <c r="BL234" i="8" s="1"/>
  <c r="BE234" i="8"/>
  <c r="BJ234" i="8" s="1"/>
  <c r="BK234" i="8" s="1"/>
  <c r="BX234" i="8" s="1"/>
  <c r="BV243" i="8"/>
  <c r="BU243" i="8"/>
  <c r="AJ288" i="8"/>
  <c r="AO288" i="8" s="1"/>
  <c r="AP288" i="8" s="1"/>
  <c r="BA288" i="8" s="1"/>
  <c r="AT288" i="8"/>
  <c r="AW288" i="8" s="1"/>
  <c r="AX288" i="8" s="1"/>
  <c r="AY288" i="8" s="1"/>
  <c r="CI52" i="8"/>
  <c r="AJ54" i="8"/>
  <c r="AO54" i="8" s="1"/>
  <c r="AP54" i="8" s="1"/>
  <c r="BA54" i="8" s="1"/>
  <c r="AL60" i="8"/>
  <c r="AQ60" i="8" s="1"/>
  <c r="AL62" i="8"/>
  <c r="AQ62" i="8" s="1"/>
  <c r="BE67" i="8"/>
  <c r="BJ67" i="8" s="1"/>
  <c r="BK67" i="8" s="1"/>
  <c r="BG67" i="8"/>
  <c r="BL67" i="8" s="1"/>
  <c r="BO67" i="8"/>
  <c r="BQ67" i="8" s="1"/>
  <c r="BR67" i="8" s="1"/>
  <c r="BS67" i="8" s="1"/>
  <c r="AT76" i="8"/>
  <c r="AW76" i="8" s="1"/>
  <c r="AX76" i="8" s="1"/>
  <c r="AY76" i="8" s="1"/>
  <c r="AJ76" i="8"/>
  <c r="AO76" i="8" s="1"/>
  <c r="AP76" i="8" s="1"/>
  <c r="AZ76" i="8" s="1"/>
  <c r="AL76" i="8"/>
  <c r="AQ76" i="8" s="1"/>
  <c r="AY78" i="8"/>
  <c r="AT81" i="8"/>
  <c r="AW81" i="8" s="1"/>
  <c r="AX81" i="8" s="1"/>
  <c r="AY81" i="8" s="1"/>
  <c r="AJ81" i="8"/>
  <c r="AO81" i="8" s="1"/>
  <c r="AP81" i="8" s="1"/>
  <c r="BB81" i="8" s="1"/>
  <c r="AL81" i="8"/>
  <c r="AQ81" i="8" s="1"/>
  <c r="AL89" i="8"/>
  <c r="AQ89" i="8" s="1"/>
  <c r="AT116" i="8"/>
  <c r="AW116" i="8" s="1"/>
  <c r="AX116" i="8" s="1"/>
  <c r="AY116" i="8" s="1"/>
  <c r="AJ116" i="8"/>
  <c r="AO116" i="8" s="1"/>
  <c r="AP116" i="8" s="1"/>
  <c r="BW116" i="8" s="1"/>
  <c r="AL116" i="8"/>
  <c r="AQ116" i="8" s="1"/>
  <c r="AT119" i="8"/>
  <c r="AW119" i="8" s="1"/>
  <c r="AX119" i="8" s="1"/>
  <c r="AY119" i="8" s="1"/>
  <c r="AL119" i="8"/>
  <c r="AQ119" i="8" s="1"/>
  <c r="AT122" i="8"/>
  <c r="AW122" i="8" s="1"/>
  <c r="AX122" i="8" s="1"/>
  <c r="AY122" i="8" s="1"/>
  <c r="AJ122" i="8"/>
  <c r="AO122" i="8" s="1"/>
  <c r="AP122" i="8" s="1"/>
  <c r="BB122" i="8" s="1"/>
  <c r="AL122" i="8"/>
  <c r="AQ122" i="8" s="1"/>
  <c r="AH134" i="8"/>
  <c r="BG134" i="8" s="1"/>
  <c r="BL134" i="8" s="1"/>
  <c r="CI138" i="8"/>
  <c r="AY145" i="8"/>
  <c r="CI156" i="8"/>
  <c r="CI171" i="8"/>
  <c r="CI200" i="8"/>
  <c r="AT213" i="8"/>
  <c r="AW213" i="8" s="1"/>
  <c r="AX213" i="8" s="1"/>
  <c r="AY213" i="8" s="1"/>
  <c r="AL213" i="8"/>
  <c r="AQ213" i="8" s="1"/>
  <c r="AJ213" i="8"/>
  <c r="AO213" i="8" s="1"/>
  <c r="AP213" i="8" s="1"/>
  <c r="BA213" i="8" s="1"/>
  <c r="BE217" i="8"/>
  <c r="BJ217" i="8" s="1"/>
  <c r="BK217" i="8" s="1"/>
  <c r="BU217" i="8" s="1"/>
  <c r="BG217" i="8"/>
  <c r="BL217" i="8" s="1"/>
  <c r="BO217" i="8"/>
  <c r="BQ217" i="8" s="1"/>
  <c r="BR217" i="8" s="1"/>
  <c r="BS217" i="8" s="1"/>
  <c r="AY230" i="8"/>
  <c r="BU63" i="8"/>
  <c r="AT77" i="8"/>
  <c r="AW77" i="8" s="1"/>
  <c r="AX77" i="8" s="1"/>
  <c r="AY77" i="8" s="1"/>
  <c r="AL77" i="8"/>
  <c r="AQ77" i="8" s="1"/>
  <c r="AJ77" i="8"/>
  <c r="AO77" i="8" s="1"/>
  <c r="AP77" i="8" s="1"/>
  <c r="BB77" i="8" s="1"/>
  <c r="BE86" i="8"/>
  <c r="BJ86" i="8" s="1"/>
  <c r="BK86" i="8" s="1"/>
  <c r="BT86" i="8" s="1"/>
  <c r="BO86" i="8"/>
  <c r="BQ86" i="8" s="1"/>
  <c r="BR86" i="8" s="1"/>
  <c r="BS86" i="8" s="1"/>
  <c r="AL233" i="8"/>
  <c r="AQ233" i="8" s="1"/>
  <c r="AJ233" i="8"/>
  <c r="AO233" i="8" s="1"/>
  <c r="AP233" i="8" s="1"/>
  <c r="BY233" i="8" s="1"/>
  <c r="BE78" i="8"/>
  <c r="BJ78" i="8" s="1"/>
  <c r="BK78" i="8" s="1"/>
  <c r="BU78" i="8" s="1"/>
  <c r="BG78" i="8"/>
  <c r="BL78" i="8" s="1"/>
  <c r="AT113" i="8"/>
  <c r="AW113" i="8" s="1"/>
  <c r="AX113" i="8" s="1"/>
  <c r="AY113" i="8" s="1"/>
  <c r="AL113" i="8"/>
  <c r="AQ113" i="8" s="1"/>
  <c r="CI142" i="8"/>
  <c r="AB165" i="8"/>
  <c r="AT165" i="8" s="1"/>
  <c r="AW165" i="8" s="1"/>
  <c r="AX165" i="8" s="1"/>
  <c r="AY165" i="8" s="1"/>
  <c r="BC165" i="8" s="1"/>
  <c r="BG199" i="8"/>
  <c r="BL199" i="8" s="1"/>
  <c r="BO199" i="8"/>
  <c r="BQ199" i="8" s="1"/>
  <c r="BR199" i="8" s="1"/>
  <c r="BS199" i="8" s="1"/>
  <c r="BG61" i="8"/>
  <c r="BL61" i="8" s="1"/>
  <c r="BS90" i="8"/>
  <c r="BG86" i="8"/>
  <c r="BL86" i="8" s="1"/>
  <c r="AL91" i="8"/>
  <c r="AQ91" i="8" s="1"/>
  <c r="AT209" i="8"/>
  <c r="AW209" i="8" s="1"/>
  <c r="AX209" i="8" s="1"/>
  <c r="AY209" i="8" s="1"/>
  <c r="AL209" i="8"/>
  <c r="AQ209" i="8" s="1"/>
  <c r="AJ209" i="8"/>
  <c r="AO209" i="8" s="1"/>
  <c r="AP209" i="8" s="1"/>
  <c r="BA209" i="8" s="1"/>
  <c r="BE51" i="8"/>
  <c r="BJ51" i="8" s="1"/>
  <c r="BK51" i="8" s="1"/>
  <c r="BT51" i="8" s="1"/>
  <c r="BE54" i="8"/>
  <c r="BJ54" i="8" s="1"/>
  <c r="BK54" i="8" s="1"/>
  <c r="BV54" i="8" s="1"/>
  <c r="BO63" i="8"/>
  <c r="BQ63" i="8" s="1"/>
  <c r="BR63" i="8" s="1"/>
  <c r="BS63" i="8" s="1"/>
  <c r="BE65" i="8"/>
  <c r="BJ65" i="8" s="1"/>
  <c r="BK65" i="8" s="1"/>
  <c r="BV65" i="8" s="1"/>
  <c r="BO65" i="8"/>
  <c r="BQ65" i="8" s="1"/>
  <c r="BR65" i="8" s="1"/>
  <c r="BS65" i="8" s="1"/>
  <c r="BS82" i="8"/>
  <c r="AT85" i="8"/>
  <c r="AW85" i="8" s="1"/>
  <c r="AX85" i="8" s="1"/>
  <c r="AY85" i="8" s="1"/>
  <c r="AL85" i="8"/>
  <c r="AQ85" i="8" s="1"/>
  <c r="AT87" i="8"/>
  <c r="AW87" i="8" s="1"/>
  <c r="AX87" i="8" s="1"/>
  <c r="AY87" i="8" s="1"/>
  <c r="BE90" i="8"/>
  <c r="BJ90" i="8" s="1"/>
  <c r="BK90" i="8" s="1"/>
  <c r="BT90" i="8" s="1"/>
  <c r="BG90" i="8"/>
  <c r="BL90" i="8" s="1"/>
  <c r="CI90" i="8"/>
  <c r="AT112" i="8"/>
  <c r="AW112" i="8" s="1"/>
  <c r="AX112" i="8" s="1"/>
  <c r="AY112" i="8" s="1"/>
  <c r="AL112" i="8"/>
  <c r="AQ112" i="8" s="1"/>
  <c r="AT127" i="8"/>
  <c r="AW127" i="8" s="1"/>
  <c r="AX127" i="8" s="1"/>
  <c r="AY127" i="8" s="1"/>
  <c r="AL127" i="8"/>
  <c r="AQ127" i="8" s="1"/>
  <c r="BE145" i="8"/>
  <c r="BJ145" i="8" s="1"/>
  <c r="BK145" i="8" s="1"/>
  <c r="BX145" i="8" s="1"/>
  <c r="AT153" i="8"/>
  <c r="AW153" i="8" s="1"/>
  <c r="AX153" i="8" s="1"/>
  <c r="AY153" i="8" s="1"/>
  <c r="AJ153" i="8"/>
  <c r="AO153" i="8" s="1"/>
  <c r="AP153" i="8" s="1"/>
  <c r="BY153" i="8" s="1"/>
  <c r="AL153" i="8"/>
  <c r="AQ153" i="8" s="1"/>
  <c r="AL156" i="8"/>
  <c r="AQ156" i="8" s="1"/>
  <c r="AT156" i="8"/>
  <c r="AW156" i="8" s="1"/>
  <c r="AX156" i="8" s="1"/>
  <c r="AY156" i="8" s="1"/>
  <c r="BS167" i="8"/>
  <c r="AT197" i="8"/>
  <c r="AW197" i="8" s="1"/>
  <c r="AX197" i="8" s="1"/>
  <c r="AY197" i="8" s="1"/>
  <c r="AL197" i="8"/>
  <c r="AQ197" i="8" s="1"/>
  <c r="AT203" i="8"/>
  <c r="AW203" i="8" s="1"/>
  <c r="AX203" i="8" s="1"/>
  <c r="AY203" i="8" s="1"/>
  <c r="AJ203" i="8"/>
  <c r="AO203" i="8" s="1"/>
  <c r="AP203" i="8" s="1"/>
  <c r="BW203" i="8" s="1"/>
  <c r="AL203" i="8"/>
  <c r="AQ203" i="8" s="1"/>
  <c r="AT212" i="8"/>
  <c r="AW212" i="8" s="1"/>
  <c r="AX212" i="8" s="1"/>
  <c r="AY212" i="8" s="1"/>
  <c r="AL212" i="8"/>
  <c r="AQ212" i="8" s="1"/>
  <c r="AT214" i="8"/>
  <c r="AW214" i="8" s="1"/>
  <c r="AX214" i="8" s="1"/>
  <c r="AY214" i="8" s="1"/>
  <c r="AJ214" i="8"/>
  <c r="AO214" i="8" s="1"/>
  <c r="AP214" i="8" s="1"/>
  <c r="BW214" i="8" s="1"/>
  <c r="AL214" i="8"/>
  <c r="AQ214" i="8" s="1"/>
  <c r="AT227" i="8"/>
  <c r="AW227" i="8" s="1"/>
  <c r="AX227" i="8" s="1"/>
  <c r="AY227" i="8" s="1"/>
  <c r="AJ227" i="8"/>
  <c r="AO227" i="8" s="1"/>
  <c r="AP227" i="8" s="1"/>
  <c r="BW227" i="8" s="1"/>
  <c r="AL227" i="8"/>
  <c r="AQ227" i="8" s="1"/>
  <c r="AL237" i="8"/>
  <c r="AQ237" i="8" s="1"/>
  <c r="AJ237" i="8"/>
  <c r="AO237" i="8" s="1"/>
  <c r="AP237" i="8" s="1"/>
  <c r="BA237" i="8" s="1"/>
  <c r="AL241" i="8"/>
  <c r="AQ241" i="8" s="1"/>
  <c r="BE259" i="8"/>
  <c r="BJ259" i="8" s="1"/>
  <c r="BK259" i="8" s="1"/>
  <c r="BU259" i="8" s="1"/>
  <c r="BO259" i="8"/>
  <c r="BQ259" i="8" s="1"/>
  <c r="BR259" i="8" s="1"/>
  <c r="BS259" i="8" s="1"/>
  <c r="BG259" i="8"/>
  <c r="BL259" i="8" s="1"/>
  <c r="AT273" i="8"/>
  <c r="AW273" i="8" s="1"/>
  <c r="AX273" i="8" s="1"/>
  <c r="AY273" i="8" s="1"/>
  <c r="AJ273" i="8"/>
  <c r="AO273" i="8" s="1"/>
  <c r="AP273" i="8" s="1"/>
  <c r="AZ273" i="8" s="1"/>
  <c r="AL273" i="8"/>
  <c r="AQ273" i="8" s="1"/>
  <c r="AT276" i="8"/>
  <c r="AW276" i="8" s="1"/>
  <c r="AX276" i="8" s="1"/>
  <c r="AY276" i="8" s="1"/>
  <c r="AJ276" i="8"/>
  <c r="AO276" i="8" s="1"/>
  <c r="AP276" i="8" s="1"/>
  <c r="BA276" i="8" s="1"/>
  <c r="AL276" i="8"/>
  <c r="AQ276" i="8" s="1"/>
  <c r="BO60" i="8"/>
  <c r="BQ60" i="8" s="1"/>
  <c r="BR60" i="8" s="1"/>
  <c r="BS60" i="8" s="1"/>
  <c r="AT125" i="8"/>
  <c r="AW125" i="8" s="1"/>
  <c r="AX125" i="8" s="1"/>
  <c r="AY125" i="8" s="1"/>
  <c r="AL125" i="8"/>
  <c r="AQ125" i="8" s="1"/>
  <c r="AL247" i="8"/>
  <c r="AQ247" i="8" s="1"/>
  <c r="AL157" i="8"/>
  <c r="AQ157" i="8" s="1"/>
  <c r="AT173" i="8"/>
  <c r="AW173" i="8" s="1"/>
  <c r="AX173" i="8" s="1"/>
  <c r="AY173" i="8" s="1"/>
  <c r="AL173" i="8"/>
  <c r="AQ173" i="8" s="1"/>
  <c r="AT270" i="8"/>
  <c r="AW270" i="8" s="1"/>
  <c r="AX270" i="8" s="1"/>
  <c r="AY270" i="8" s="1"/>
  <c r="AJ270" i="8"/>
  <c r="AO270" i="8" s="1"/>
  <c r="AP270" i="8" s="1"/>
  <c r="BY270" i="8" s="1"/>
  <c r="BE138" i="8"/>
  <c r="BJ138" i="8" s="1"/>
  <c r="BK138" i="8" s="1"/>
  <c r="BU138" i="8" s="1"/>
  <c r="BV239" i="8"/>
  <c r="BU239" i="8"/>
  <c r="BS49" i="8"/>
  <c r="CI54" i="8"/>
  <c r="BO59" i="8"/>
  <c r="BQ59" i="8" s="1"/>
  <c r="BR59" i="8" s="1"/>
  <c r="BS59" i="8" s="1"/>
  <c r="BO76" i="8"/>
  <c r="BQ76" i="8" s="1"/>
  <c r="BR76" i="8" s="1"/>
  <c r="BS76" i="8" s="1"/>
  <c r="BE77" i="8"/>
  <c r="BJ77" i="8" s="1"/>
  <c r="BK77" i="8" s="1"/>
  <c r="BX77" i="8" s="1"/>
  <c r="BG77" i="8"/>
  <c r="BL77" i="8" s="1"/>
  <c r="AT83" i="8"/>
  <c r="AW83" i="8" s="1"/>
  <c r="AX83" i="8" s="1"/>
  <c r="AY83" i="8" s="1"/>
  <c r="AL83" i="8"/>
  <c r="AQ83" i="8" s="1"/>
  <c r="AT86" i="8"/>
  <c r="AW86" i="8" s="1"/>
  <c r="AX86" i="8" s="1"/>
  <c r="AY86" i="8" s="1"/>
  <c r="BE88" i="8"/>
  <c r="BJ88" i="8" s="1"/>
  <c r="BK88" i="8" s="1"/>
  <c r="BV88" i="8" s="1"/>
  <c r="BO88" i="8"/>
  <c r="BQ88" i="8" s="1"/>
  <c r="BR88" i="8" s="1"/>
  <c r="BS88" i="8" s="1"/>
  <c r="CI92" i="8"/>
  <c r="AL97" i="8"/>
  <c r="AQ97" i="8" s="1"/>
  <c r="AT115" i="8"/>
  <c r="AW115" i="8" s="1"/>
  <c r="AX115" i="8" s="1"/>
  <c r="AY115" i="8" s="1"/>
  <c r="AL115" i="8"/>
  <c r="AQ115" i="8" s="1"/>
  <c r="AT121" i="8"/>
  <c r="AW121" i="8" s="1"/>
  <c r="AX121" i="8" s="1"/>
  <c r="AY121" i="8" s="1"/>
  <c r="AL121" i="8"/>
  <c r="AQ121" i="8" s="1"/>
  <c r="AT126" i="8"/>
  <c r="AW126" i="8" s="1"/>
  <c r="AX126" i="8" s="1"/>
  <c r="AY126" i="8" s="1"/>
  <c r="AL126" i="8"/>
  <c r="AQ126" i="8" s="1"/>
  <c r="CI139" i="8"/>
  <c r="BS170" i="8"/>
  <c r="AT181" i="8"/>
  <c r="AW181" i="8" s="1"/>
  <c r="AX181" i="8" s="1"/>
  <c r="AY181" i="8" s="1"/>
  <c r="AJ181" i="8"/>
  <c r="AO181" i="8" s="1"/>
  <c r="AP181" i="8" s="1"/>
  <c r="AZ181" i="8" s="1"/>
  <c r="AL181" i="8"/>
  <c r="AQ181" i="8" s="1"/>
  <c r="AJ196" i="8"/>
  <c r="AO196" i="8" s="1"/>
  <c r="AP196" i="8" s="1"/>
  <c r="AZ196" i="8" s="1"/>
  <c r="AT196" i="8"/>
  <c r="AW196" i="8" s="1"/>
  <c r="AX196" i="8" s="1"/>
  <c r="AY196" i="8" s="1"/>
  <c r="AL196" i="8"/>
  <c r="AQ196" i="8" s="1"/>
  <c r="BE198" i="8"/>
  <c r="BJ198" i="8" s="1"/>
  <c r="BK198" i="8" s="1"/>
  <c r="BV198" i="8" s="1"/>
  <c r="BG198" i="8"/>
  <c r="BL198" i="8" s="1"/>
  <c r="BE211" i="8"/>
  <c r="BJ211" i="8" s="1"/>
  <c r="BK211" i="8" s="1"/>
  <c r="BX211" i="8" s="1"/>
  <c r="BO211" i="8"/>
  <c r="BQ211" i="8" s="1"/>
  <c r="BR211" i="8" s="1"/>
  <c r="BS211" i="8" s="1"/>
  <c r="BG211" i="8"/>
  <c r="BL211" i="8" s="1"/>
  <c r="CI261" i="8"/>
  <c r="BO107" i="8"/>
  <c r="BQ107" i="8" s="1"/>
  <c r="BR107" i="8" s="1"/>
  <c r="BS107" i="8" s="1"/>
  <c r="BE226" i="8"/>
  <c r="BJ226" i="8" s="1"/>
  <c r="BK226" i="8" s="1"/>
  <c r="BZ226" i="8" s="1"/>
  <c r="BG226" i="8"/>
  <c r="BL226" i="8" s="1"/>
  <c r="BO226" i="8"/>
  <c r="BQ226" i="8" s="1"/>
  <c r="BR226" i="8" s="1"/>
  <c r="BS226" i="8" s="1"/>
  <c r="BG63" i="8"/>
  <c r="BL63" i="8" s="1"/>
  <c r="CI64" i="8"/>
  <c r="AJ82" i="8"/>
  <c r="AO82" i="8" s="1"/>
  <c r="AP82" i="8" s="1"/>
  <c r="BB82" i="8" s="1"/>
  <c r="AT82" i="8"/>
  <c r="AW82" i="8" s="1"/>
  <c r="AX82" i="8" s="1"/>
  <c r="AY82" i="8" s="1"/>
  <c r="AL182" i="8"/>
  <c r="AQ182" i="8" s="1"/>
  <c r="AT205" i="8"/>
  <c r="AW205" i="8" s="1"/>
  <c r="AX205" i="8" s="1"/>
  <c r="AY205" i="8" s="1"/>
  <c r="AL205" i="8"/>
  <c r="AQ205" i="8" s="1"/>
  <c r="AJ205" i="8"/>
  <c r="AO205" i="8" s="1"/>
  <c r="AP205" i="8" s="1"/>
  <c r="BW205" i="8" s="1"/>
  <c r="CI294" i="8"/>
  <c r="AL64" i="8"/>
  <c r="AQ64" i="8" s="1"/>
  <c r="BE52" i="8"/>
  <c r="BJ52" i="8" s="1"/>
  <c r="BK52" i="8" s="1"/>
  <c r="BU52" i="8" s="1"/>
  <c r="BO54" i="8"/>
  <c r="BQ54" i="8" s="1"/>
  <c r="BR54" i="8" s="1"/>
  <c r="BS54" i="8" s="1"/>
  <c r="CC54" i="8" s="1"/>
  <c r="BS150" i="8"/>
  <c r="BG181" i="8"/>
  <c r="BL181" i="8" s="1"/>
  <c r="BO181" i="8"/>
  <c r="BQ181" i="8" s="1"/>
  <c r="BR181" i="8" s="1"/>
  <c r="BS181" i="8" s="1"/>
  <c r="BS46" i="8"/>
  <c r="AH43" i="8"/>
  <c r="BG43" i="8" s="1"/>
  <c r="BL43" i="8" s="1"/>
  <c r="CI53" i="8"/>
  <c r="BS55" i="8"/>
  <c r="AJ65" i="8"/>
  <c r="AO65" i="8" s="1"/>
  <c r="AP65" i="8" s="1"/>
  <c r="BB65" i="8" s="1"/>
  <c r="AT65" i="8"/>
  <c r="AW65" i="8" s="1"/>
  <c r="AX65" i="8" s="1"/>
  <c r="AY65" i="8" s="1"/>
  <c r="BG65" i="8"/>
  <c r="BL65" i="8" s="1"/>
  <c r="BO78" i="8"/>
  <c r="BQ78" i="8" s="1"/>
  <c r="BR78" i="8" s="1"/>
  <c r="BS78" i="8" s="1"/>
  <c r="BO81" i="8"/>
  <c r="BQ81" i="8" s="1"/>
  <c r="BR81" i="8" s="1"/>
  <c r="BS81" i="8" s="1"/>
  <c r="BE82" i="8"/>
  <c r="BJ82" i="8" s="1"/>
  <c r="BK82" i="8" s="1"/>
  <c r="BG82" i="8"/>
  <c r="BL82" i="8" s="1"/>
  <c r="BE84" i="8"/>
  <c r="BJ84" i="8" s="1"/>
  <c r="BK84" i="8" s="1"/>
  <c r="BZ84" i="8" s="1"/>
  <c r="BG84" i="8"/>
  <c r="BL84" i="8" s="1"/>
  <c r="BO84" i="8"/>
  <c r="BQ84" i="8" s="1"/>
  <c r="BR84" i="8" s="1"/>
  <c r="BS84" i="8" s="1"/>
  <c r="BE108" i="8"/>
  <c r="BJ108" i="8" s="1"/>
  <c r="BK108" i="8" s="1"/>
  <c r="BX108" i="8" s="1"/>
  <c r="BG108" i="8"/>
  <c r="BL108" i="8" s="1"/>
  <c r="BO108" i="8"/>
  <c r="BQ108" i="8" s="1"/>
  <c r="BR108" i="8" s="1"/>
  <c r="BS108" i="8" s="1"/>
  <c r="CI113" i="8"/>
  <c r="AT114" i="8"/>
  <c r="AW114" i="8" s="1"/>
  <c r="AX114" i="8" s="1"/>
  <c r="AY114" i="8" s="1"/>
  <c r="AJ114" i="8"/>
  <c r="AO114" i="8" s="1"/>
  <c r="AP114" i="8" s="1"/>
  <c r="BA114" i="8" s="1"/>
  <c r="AL114" i="8"/>
  <c r="AQ114" i="8" s="1"/>
  <c r="AY120" i="8"/>
  <c r="BO124" i="8"/>
  <c r="BQ124" i="8" s="1"/>
  <c r="BR124" i="8" s="1"/>
  <c r="BS124" i="8" s="1"/>
  <c r="AJ125" i="8"/>
  <c r="AO125" i="8" s="1"/>
  <c r="AP125" i="8" s="1"/>
  <c r="BA125" i="8" s="1"/>
  <c r="BS139" i="8"/>
  <c r="BE139" i="8"/>
  <c r="BJ139" i="8" s="1"/>
  <c r="BK139" i="8" s="1"/>
  <c r="AL143" i="8"/>
  <c r="AQ143" i="8" s="1"/>
  <c r="AT143" i="8"/>
  <c r="AW143" i="8" s="1"/>
  <c r="AX143" i="8" s="1"/>
  <c r="AY143" i="8" s="1"/>
  <c r="CI144" i="8"/>
  <c r="BO186" i="8"/>
  <c r="BQ186" i="8" s="1"/>
  <c r="BR186" i="8" s="1"/>
  <c r="BS186" i="8" s="1"/>
  <c r="AJ200" i="8"/>
  <c r="AO200" i="8" s="1"/>
  <c r="AP200" i="8" s="1"/>
  <c r="BW200" i="8" s="1"/>
  <c r="AT200" i="8"/>
  <c r="AW200" i="8" s="1"/>
  <c r="AX200" i="8" s="1"/>
  <c r="AY200" i="8" s="1"/>
  <c r="AL200" i="8"/>
  <c r="AQ200" i="8" s="1"/>
  <c r="AT202" i="8"/>
  <c r="AW202" i="8" s="1"/>
  <c r="AX202" i="8" s="1"/>
  <c r="AY202" i="8" s="1"/>
  <c r="AL202" i="8"/>
  <c r="AQ202" i="8" s="1"/>
  <c r="CI63" i="8"/>
  <c r="AY80" i="8"/>
  <c r="BO85" i="8"/>
  <c r="BQ85" i="8" s="1"/>
  <c r="BR85" i="8" s="1"/>
  <c r="BS85" i="8" s="1"/>
  <c r="BS87" i="8"/>
  <c r="CI88" i="8"/>
  <c r="AY95" i="8"/>
  <c r="AL95" i="8"/>
  <c r="AQ95" i="8" s="1"/>
  <c r="AB103" i="8"/>
  <c r="AJ103" i="8" s="1"/>
  <c r="AO103" i="8" s="1"/>
  <c r="AP103" i="8" s="1"/>
  <c r="BW103" i="8" s="1"/>
  <c r="AY111" i="8"/>
  <c r="BG112" i="8"/>
  <c r="BL112" i="8" s="1"/>
  <c r="BO125" i="8"/>
  <c r="BQ125" i="8" s="1"/>
  <c r="BR125" i="8" s="1"/>
  <c r="BS125" i="8" s="1"/>
  <c r="BE141" i="8"/>
  <c r="BJ141" i="8" s="1"/>
  <c r="BK141" i="8" s="1"/>
  <c r="BT141" i="8" s="1"/>
  <c r="CI141" i="8"/>
  <c r="BE142" i="8"/>
  <c r="BJ142" i="8" s="1"/>
  <c r="BK142" i="8" s="1"/>
  <c r="BX142" i="8" s="1"/>
  <c r="AY151" i="8"/>
  <c r="CI151" i="8"/>
  <c r="BO152" i="8"/>
  <c r="BQ152" i="8" s="1"/>
  <c r="BR152" i="8" s="1"/>
  <c r="BS152" i="8" s="1"/>
  <c r="BO154" i="8"/>
  <c r="BQ154" i="8" s="1"/>
  <c r="BR154" i="8" s="1"/>
  <c r="BS154" i="8" s="1"/>
  <c r="BG156" i="8"/>
  <c r="BL156" i="8" s="1"/>
  <c r="AT178" i="8"/>
  <c r="AW178" i="8" s="1"/>
  <c r="AX178" i="8" s="1"/>
  <c r="AY178" i="8" s="1"/>
  <c r="AJ178" i="8"/>
  <c r="AO178" i="8" s="1"/>
  <c r="AP178" i="8" s="1"/>
  <c r="BA178" i="8" s="1"/>
  <c r="AL178" i="8"/>
  <c r="AQ178" i="8" s="1"/>
  <c r="CI181" i="8"/>
  <c r="BS185" i="8"/>
  <c r="AT199" i="8"/>
  <c r="AW199" i="8" s="1"/>
  <c r="AX199" i="8" s="1"/>
  <c r="AY199" i="8" s="1"/>
  <c r="AL199" i="8"/>
  <c r="AQ199" i="8" s="1"/>
  <c r="BG227" i="8"/>
  <c r="BL227" i="8" s="1"/>
  <c r="BO227" i="8"/>
  <c r="BQ227" i="8" s="1"/>
  <c r="BR227" i="8" s="1"/>
  <c r="BS227" i="8" s="1"/>
  <c r="AY228" i="8"/>
  <c r="CI238" i="8"/>
  <c r="BO246" i="8"/>
  <c r="BQ246" i="8" s="1"/>
  <c r="BR246" i="8" s="1"/>
  <c r="BS246" i="8" s="1"/>
  <c r="CI266" i="8"/>
  <c r="BE269" i="8"/>
  <c r="BJ269" i="8" s="1"/>
  <c r="BK269" i="8" s="1"/>
  <c r="BV269" i="8" s="1"/>
  <c r="BO269" i="8"/>
  <c r="BQ269" i="8" s="1"/>
  <c r="BR269" i="8" s="1"/>
  <c r="BS269" i="8" s="1"/>
  <c r="AT272" i="8"/>
  <c r="AW272" i="8" s="1"/>
  <c r="AX272" i="8" s="1"/>
  <c r="AY272" i="8" s="1"/>
  <c r="AJ272" i="8"/>
  <c r="AO272" i="8" s="1"/>
  <c r="AP272" i="8" s="1"/>
  <c r="BA272" i="8" s="1"/>
  <c r="AL272" i="8"/>
  <c r="AQ272" i="8" s="1"/>
  <c r="CI272" i="8"/>
  <c r="AY293" i="8"/>
  <c r="AY66" i="8"/>
  <c r="CI77" i="8"/>
  <c r="AY79" i="8"/>
  <c r="CI84" i="8"/>
  <c r="CI87" i="8"/>
  <c r="AL93" i="8"/>
  <c r="AQ93" i="8" s="1"/>
  <c r="CI96" i="8"/>
  <c r="CI108" i="8"/>
  <c r="BO122" i="8"/>
  <c r="BQ122" i="8" s="1"/>
  <c r="BR122" i="8" s="1"/>
  <c r="BS122" i="8" s="1"/>
  <c r="BO123" i="8"/>
  <c r="BQ123" i="8" s="1"/>
  <c r="BR123" i="8" s="1"/>
  <c r="BS123" i="8" s="1"/>
  <c r="AJ124" i="8"/>
  <c r="AO124" i="8" s="1"/>
  <c r="AP124" i="8" s="1"/>
  <c r="BW124" i="8" s="1"/>
  <c r="AH135" i="8"/>
  <c r="BG135" i="8" s="1"/>
  <c r="BL135" i="8" s="1"/>
  <c r="AY137" i="8"/>
  <c r="BS147" i="8"/>
  <c r="CI166" i="8"/>
  <c r="AY167" i="8"/>
  <c r="BG173" i="8"/>
  <c r="BL173" i="8" s="1"/>
  <c r="BO175" i="8"/>
  <c r="BQ175" i="8" s="1"/>
  <c r="BR175" i="8" s="1"/>
  <c r="BS175" i="8" s="1"/>
  <c r="AT180" i="8"/>
  <c r="AW180" i="8" s="1"/>
  <c r="AX180" i="8" s="1"/>
  <c r="AY180" i="8" s="1"/>
  <c r="AL180" i="8"/>
  <c r="AQ180" i="8" s="1"/>
  <c r="AJ184" i="8"/>
  <c r="AO184" i="8" s="1"/>
  <c r="AP184" i="8" s="1"/>
  <c r="BY184" i="8" s="1"/>
  <c r="AJ185" i="8"/>
  <c r="AO185" i="8" s="1"/>
  <c r="AP185" i="8" s="1"/>
  <c r="BW185" i="8" s="1"/>
  <c r="AB195" i="8"/>
  <c r="AJ195" i="8" s="1"/>
  <c r="AO195" i="8" s="1"/>
  <c r="AP195" i="8" s="1"/>
  <c r="AT206" i="8"/>
  <c r="AW206" i="8" s="1"/>
  <c r="AX206" i="8" s="1"/>
  <c r="AY206" i="8" s="1"/>
  <c r="AJ206" i="8"/>
  <c r="AO206" i="8" s="1"/>
  <c r="AP206" i="8" s="1"/>
  <c r="BA206" i="8" s="1"/>
  <c r="AL206" i="8"/>
  <c r="AQ206" i="8" s="1"/>
  <c r="AT207" i="8"/>
  <c r="AW207" i="8" s="1"/>
  <c r="AX207" i="8" s="1"/>
  <c r="AY207" i="8" s="1"/>
  <c r="AL207" i="8"/>
  <c r="AQ207" i="8" s="1"/>
  <c r="BE240" i="8"/>
  <c r="BJ240" i="8" s="1"/>
  <c r="BK240" i="8" s="1"/>
  <c r="BT240" i="8" s="1"/>
  <c r="BO240" i="8"/>
  <c r="BQ240" i="8" s="1"/>
  <c r="BR240" i="8" s="1"/>
  <c r="BS240" i="8" s="1"/>
  <c r="BG240" i="8"/>
  <c r="BL240" i="8" s="1"/>
  <c r="CI262" i="8"/>
  <c r="CI267" i="8"/>
  <c r="BS140" i="8"/>
  <c r="AL155" i="8"/>
  <c r="AQ155" i="8" s="1"/>
  <c r="BS166" i="8"/>
  <c r="BE170" i="8"/>
  <c r="BJ170" i="8" s="1"/>
  <c r="BK170" i="8" s="1"/>
  <c r="BX170" i="8" s="1"/>
  <c r="CI175" i="8"/>
  <c r="AT179" i="8"/>
  <c r="AW179" i="8" s="1"/>
  <c r="AX179" i="8" s="1"/>
  <c r="AY179" i="8" s="1"/>
  <c r="AL179" i="8"/>
  <c r="AQ179" i="8" s="1"/>
  <c r="BO182" i="8"/>
  <c r="BQ182" i="8" s="1"/>
  <c r="BR182" i="8" s="1"/>
  <c r="BS182" i="8" s="1"/>
  <c r="BE200" i="8"/>
  <c r="BJ200" i="8" s="1"/>
  <c r="BK200" i="8" s="1"/>
  <c r="BG200" i="8"/>
  <c r="BL200" i="8" s="1"/>
  <c r="AT217" i="8"/>
  <c r="AW217" i="8" s="1"/>
  <c r="AX217" i="8" s="1"/>
  <c r="AY217" i="8" s="1"/>
  <c r="AL217" i="8"/>
  <c r="AQ217" i="8" s="1"/>
  <c r="AT226" i="8"/>
  <c r="AW226" i="8" s="1"/>
  <c r="AX226" i="8" s="1"/>
  <c r="AY226" i="8" s="1"/>
  <c r="AJ226" i="8"/>
  <c r="AO226" i="8" s="1"/>
  <c r="AP226" i="8" s="1"/>
  <c r="BY226" i="8" s="1"/>
  <c r="AL226" i="8"/>
  <c r="AQ226" i="8" s="1"/>
  <c r="BS230" i="8"/>
  <c r="CI233" i="8"/>
  <c r="BE242" i="8"/>
  <c r="BJ242" i="8" s="1"/>
  <c r="BK242" i="8" s="1"/>
  <c r="BV242" i="8" s="1"/>
  <c r="BG242" i="8"/>
  <c r="BL242" i="8" s="1"/>
  <c r="BS262" i="8"/>
  <c r="BE262" i="8"/>
  <c r="BJ262" i="8" s="1"/>
  <c r="BK262" i="8" s="1"/>
  <c r="BV262" i="8" s="1"/>
  <c r="CI80" i="8"/>
  <c r="CI89" i="8"/>
  <c r="BG96" i="8"/>
  <c r="BL96" i="8" s="1"/>
  <c r="AH103" i="8"/>
  <c r="BO103" i="8" s="1"/>
  <c r="BQ103" i="8" s="1"/>
  <c r="BR103" i="8" s="1"/>
  <c r="BS103" i="8" s="1"/>
  <c r="CA103" i="8" s="1"/>
  <c r="AB104" i="8"/>
  <c r="AJ104" i="8" s="1"/>
  <c r="AO104" i="8" s="1"/>
  <c r="AP104" i="8" s="1"/>
  <c r="AY106" i="8"/>
  <c r="BO112" i="8"/>
  <c r="BQ112" i="8" s="1"/>
  <c r="BR112" i="8" s="1"/>
  <c r="BS112" i="8" s="1"/>
  <c r="BO116" i="8"/>
  <c r="BQ116" i="8" s="1"/>
  <c r="BR116" i="8" s="1"/>
  <c r="BS116" i="8" s="1"/>
  <c r="AY118" i="8"/>
  <c r="AY123" i="8"/>
  <c r="AL124" i="8"/>
  <c r="AQ124" i="8" s="1"/>
  <c r="BG140" i="8"/>
  <c r="BL140" i="8" s="1"/>
  <c r="BS141" i="8"/>
  <c r="BO156" i="8"/>
  <c r="BQ156" i="8" s="1"/>
  <c r="BR156" i="8" s="1"/>
  <c r="BS156" i="8" s="1"/>
  <c r="BS176" i="8"/>
  <c r="AL184" i="8"/>
  <c r="AQ184" i="8" s="1"/>
  <c r="AL185" i="8"/>
  <c r="AQ185" i="8" s="1"/>
  <c r="BA186" i="8"/>
  <c r="BO187" i="8"/>
  <c r="BQ187" i="8" s="1"/>
  <c r="BR187" i="8" s="1"/>
  <c r="BS187" i="8" s="1"/>
  <c r="AY201" i="8"/>
  <c r="CI201" i="8"/>
  <c r="BG208" i="8"/>
  <c r="BL208" i="8" s="1"/>
  <c r="BO208" i="8"/>
  <c r="BQ208" i="8" s="1"/>
  <c r="BR208" i="8" s="1"/>
  <c r="BS208" i="8" s="1"/>
  <c r="CC208" i="8" s="1"/>
  <c r="CI214" i="8"/>
  <c r="AT216" i="8"/>
  <c r="AW216" i="8" s="1"/>
  <c r="AX216" i="8" s="1"/>
  <c r="AY216" i="8" s="1"/>
  <c r="AL216" i="8"/>
  <c r="AQ216" i="8" s="1"/>
  <c r="AH223" i="8"/>
  <c r="BG223" i="8" s="1"/>
  <c r="BL223" i="8" s="1"/>
  <c r="AB224" i="8"/>
  <c r="AT224" i="8" s="1"/>
  <c r="AW224" i="8" s="1"/>
  <c r="AX224" i="8" s="1"/>
  <c r="AY224" i="8" s="1"/>
  <c r="BC224" i="8" s="1"/>
  <c r="BS237" i="8"/>
  <c r="BU245" i="8"/>
  <c r="CI270" i="8"/>
  <c r="CI293" i="8"/>
  <c r="CI302" i="8"/>
  <c r="CI226" i="8"/>
  <c r="CI227" i="8"/>
  <c r="AL239" i="8"/>
  <c r="AQ239" i="8" s="1"/>
  <c r="CI239" i="8"/>
  <c r="AL243" i="8"/>
  <c r="AQ243" i="8" s="1"/>
  <c r="CI246" i="8"/>
  <c r="AY247" i="8"/>
  <c r="AH254" i="8"/>
  <c r="BO254" i="8" s="1"/>
  <c r="BQ254" i="8" s="1"/>
  <c r="BR254" i="8" s="1"/>
  <c r="BS254" i="8" s="1"/>
  <c r="CA254" i="8" s="1"/>
  <c r="BS264" i="8"/>
  <c r="AY265" i="8"/>
  <c r="BS267" i="8"/>
  <c r="BG271" i="8"/>
  <c r="BL271" i="8" s="1"/>
  <c r="CI287" i="8"/>
  <c r="CI298" i="8"/>
  <c r="BG294" i="8"/>
  <c r="BL294" i="8" s="1"/>
  <c r="BO299" i="8"/>
  <c r="BQ299" i="8" s="1"/>
  <c r="BR299" i="8" s="1"/>
  <c r="BS299" i="8" s="1"/>
  <c r="BG305" i="8"/>
  <c r="BL305" i="8" s="1"/>
  <c r="AL306" i="8"/>
  <c r="AQ306" i="8" s="1"/>
  <c r="AL307" i="8"/>
  <c r="AQ307" i="8" s="1"/>
  <c r="BG307" i="8"/>
  <c r="BL307" i="8" s="1"/>
  <c r="BE266" i="8"/>
  <c r="BJ266" i="8" s="1"/>
  <c r="BK266" i="8" s="1"/>
  <c r="BZ266" i="8" s="1"/>
  <c r="CI268" i="8"/>
  <c r="BO301" i="8"/>
  <c r="BQ301" i="8" s="1"/>
  <c r="BR301" i="8" s="1"/>
  <c r="BS301" i="8" s="1"/>
  <c r="AY174" i="8"/>
  <c r="BS179" i="8"/>
  <c r="BO183" i="8"/>
  <c r="BQ183" i="8" s="1"/>
  <c r="BR183" i="8" s="1"/>
  <c r="BS183" i="8" s="1"/>
  <c r="BO184" i="8"/>
  <c r="BQ184" i="8" s="1"/>
  <c r="BR184" i="8" s="1"/>
  <c r="BS184" i="8" s="1"/>
  <c r="AY187" i="8"/>
  <c r="AH194" i="8"/>
  <c r="BO194" i="8" s="1"/>
  <c r="BQ194" i="8" s="1"/>
  <c r="BR194" i="8" s="1"/>
  <c r="BS194" i="8" s="1"/>
  <c r="CA194" i="8" s="1"/>
  <c r="CI198" i="8"/>
  <c r="BO203" i="8"/>
  <c r="BQ203" i="8" s="1"/>
  <c r="BR203" i="8" s="1"/>
  <c r="BS203" i="8" s="1"/>
  <c r="BO205" i="8"/>
  <c r="BQ205" i="8" s="1"/>
  <c r="BR205" i="8" s="1"/>
  <c r="BS205" i="8" s="1"/>
  <c r="BO207" i="8"/>
  <c r="BQ207" i="8" s="1"/>
  <c r="BR207" i="8" s="1"/>
  <c r="BS207" i="8" s="1"/>
  <c r="AJ208" i="8"/>
  <c r="AO208" i="8" s="1"/>
  <c r="AP208" i="8" s="1"/>
  <c r="BB208" i="8" s="1"/>
  <c r="BG215" i="8"/>
  <c r="BL215" i="8" s="1"/>
  <c r="CI232" i="8"/>
  <c r="AT234" i="8"/>
  <c r="AW234" i="8" s="1"/>
  <c r="AX234" i="8" s="1"/>
  <c r="AY234" i="8" s="1"/>
  <c r="CI237" i="8"/>
  <c r="CI241" i="8"/>
  <c r="BS257" i="8"/>
  <c r="BS263" i="8"/>
  <c r="BE265" i="8"/>
  <c r="BJ265" i="8" s="1"/>
  <c r="BK265" i="8" s="1"/>
  <c r="BV265" i="8" s="1"/>
  <c r="BO270" i="8"/>
  <c r="BQ270" i="8" s="1"/>
  <c r="BR270" i="8" s="1"/>
  <c r="BS270" i="8" s="1"/>
  <c r="BO271" i="8"/>
  <c r="BQ271" i="8" s="1"/>
  <c r="BR271" i="8" s="1"/>
  <c r="BS271" i="8" s="1"/>
  <c r="BO272" i="8"/>
  <c r="BQ272" i="8" s="1"/>
  <c r="BR272" i="8" s="1"/>
  <c r="BS272" i="8" s="1"/>
  <c r="BO273" i="8"/>
  <c r="BQ273" i="8" s="1"/>
  <c r="BR273" i="8" s="1"/>
  <c r="BS273" i="8" s="1"/>
  <c r="AJ274" i="8"/>
  <c r="AO274" i="8" s="1"/>
  <c r="AP274" i="8" s="1"/>
  <c r="BW274" i="8" s="1"/>
  <c r="CI274" i="8"/>
  <c r="AJ275" i="8"/>
  <c r="AO275" i="8" s="1"/>
  <c r="AP275" i="8" s="1"/>
  <c r="AZ275" i="8" s="1"/>
  <c r="BO275" i="8"/>
  <c r="BQ275" i="8" s="1"/>
  <c r="BR275" i="8" s="1"/>
  <c r="BS275" i="8" s="1"/>
  <c r="BO276" i="8"/>
  <c r="BQ276" i="8" s="1"/>
  <c r="BR276" i="8" s="1"/>
  <c r="BS276" i="8" s="1"/>
  <c r="AH283" i="8"/>
  <c r="BE283" i="8" s="1"/>
  <c r="BJ283" i="8" s="1"/>
  <c r="BK283" i="8" s="1"/>
  <c r="BX283" i="8" s="1"/>
  <c r="AH285" i="8"/>
  <c r="BE285" i="8" s="1"/>
  <c r="BJ285" i="8" s="1"/>
  <c r="BK285" i="8" s="1"/>
  <c r="BZ285" i="8" s="1"/>
  <c r="AJ291" i="8"/>
  <c r="AO291" i="8" s="1"/>
  <c r="AP291" i="8" s="1"/>
  <c r="AZ291" i="8" s="1"/>
  <c r="BG299" i="8"/>
  <c r="BL299" i="8" s="1"/>
  <c r="CI299" i="8"/>
  <c r="AL300" i="8"/>
  <c r="AQ300" i="8" s="1"/>
  <c r="BO302" i="8"/>
  <c r="BQ302" i="8" s="1"/>
  <c r="BR302" i="8" s="1"/>
  <c r="BS302" i="8" s="1"/>
  <c r="BO303" i="8"/>
  <c r="BQ303" i="8" s="1"/>
  <c r="BR303" i="8" s="1"/>
  <c r="BS303" i="8" s="1"/>
  <c r="BO202" i="8"/>
  <c r="BQ202" i="8" s="1"/>
  <c r="BR202" i="8" s="1"/>
  <c r="BS202" i="8" s="1"/>
  <c r="CI206" i="8"/>
  <c r="AY245" i="8"/>
  <c r="AL245" i="8"/>
  <c r="AQ245" i="8" s="1"/>
  <c r="AB255" i="8"/>
  <c r="AJ255" i="8" s="1"/>
  <c r="AO255" i="8" s="1"/>
  <c r="AP255" i="8" s="1"/>
  <c r="BE260" i="8"/>
  <c r="BJ260" i="8" s="1"/>
  <c r="BK260" i="8" s="1"/>
  <c r="BT260" i="8" s="1"/>
  <c r="CI273" i="8"/>
  <c r="AY274" i="8"/>
  <c r="AY275" i="8"/>
  <c r="AJ277" i="8"/>
  <c r="AO277" i="8" s="1"/>
  <c r="AP277" i="8" s="1"/>
  <c r="BY277" i="8" s="1"/>
  <c r="CI277" i="8"/>
  <c r="AJ287" i="8"/>
  <c r="AO287" i="8" s="1"/>
  <c r="AP287" i="8" s="1"/>
  <c r="BB287" i="8" s="1"/>
  <c r="BE295" i="8"/>
  <c r="BJ295" i="8" s="1"/>
  <c r="BK295" i="8" s="1"/>
  <c r="BX295" i="8" s="1"/>
  <c r="CI300" i="8"/>
  <c r="CI301" i="8"/>
  <c r="AJ302" i="8"/>
  <c r="AO302" i="8" s="1"/>
  <c r="AP302" i="8" s="1"/>
  <c r="BA302" i="8" s="1"/>
  <c r="AJ303" i="8"/>
  <c r="AO303" i="8" s="1"/>
  <c r="AP303" i="8" s="1"/>
  <c r="BB303" i="8" s="1"/>
  <c r="CI303" i="8"/>
  <c r="AJ304" i="8"/>
  <c r="AO304" i="8" s="1"/>
  <c r="AP304" i="8" s="1"/>
  <c r="BW304" i="8" s="1"/>
  <c r="CI304" i="8"/>
  <c r="AJ305" i="8"/>
  <c r="AO305" i="8" s="1"/>
  <c r="AP305" i="8" s="1"/>
  <c r="BY305" i="8" s="1"/>
  <c r="AY277" i="8"/>
  <c r="BS294" i="8"/>
  <c r="AY302" i="8"/>
  <c r="AY304" i="8"/>
  <c r="AY305" i="8"/>
  <c r="BO306" i="8"/>
  <c r="BQ306" i="8" s="1"/>
  <c r="BR306" i="8" s="1"/>
  <c r="BS306" i="8" s="1"/>
  <c r="AB285" i="8"/>
  <c r="AT285" i="8" s="1"/>
  <c r="AW285" i="8" s="1"/>
  <c r="AX285" i="8" s="1"/>
  <c r="AY285" i="8" s="1"/>
  <c r="BC285" i="8" s="1"/>
  <c r="AB283" i="8"/>
  <c r="AT283" i="8" s="1"/>
  <c r="AW283" i="8" s="1"/>
  <c r="AX283" i="8" s="1"/>
  <c r="AY283" i="8" s="1"/>
  <c r="AB225" i="8"/>
  <c r="AL225" i="8" s="1"/>
  <c r="AQ225" i="8" s="1"/>
  <c r="AH195" i="8"/>
  <c r="BG195" i="8" s="1"/>
  <c r="BL195" i="8" s="1"/>
  <c r="AB194" i="8"/>
  <c r="AJ194" i="8" s="1"/>
  <c r="AO194" i="8" s="1"/>
  <c r="AP194" i="8" s="1"/>
  <c r="AB193" i="8"/>
  <c r="AL193" i="8" s="1"/>
  <c r="AQ193" i="8" s="1"/>
  <c r="AH164" i="8"/>
  <c r="BG164" i="8" s="1"/>
  <c r="BL164" i="8" s="1"/>
  <c r="AB164" i="8"/>
  <c r="AJ164" i="8" s="1"/>
  <c r="AO164" i="8" s="1"/>
  <c r="AP164" i="8" s="1"/>
  <c r="AB163" i="8"/>
  <c r="AL163" i="8" s="1"/>
  <c r="AQ163" i="8" s="1"/>
  <c r="AB135" i="8"/>
  <c r="AL135" i="8" s="1"/>
  <c r="AQ135" i="8" s="1"/>
  <c r="AB74" i="8"/>
  <c r="AL74" i="8" s="1"/>
  <c r="AQ74" i="8" s="1"/>
  <c r="BW286" i="8"/>
  <c r="BY286" i="8"/>
  <c r="BU287" i="8"/>
  <c r="BX287" i="8"/>
  <c r="BV287" i="8"/>
  <c r="BZ287" i="8"/>
  <c r="BT287" i="8"/>
  <c r="BZ299" i="8"/>
  <c r="BV299" i="8"/>
  <c r="BU299" i="8"/>
  <c r="BX299" i="8"/>
  <c r="BT299" i="8"/>
  <c r="BX305" i="8"/>
  <c r="BT305" i="8"/>
  <c r="BZ305" i="8"/>
  <c r="BV305" i="8"/>
  <c r="BU305" i="8"/>
  <c r="AT289" i="8"/>
  <c r="AW289" i="8" s="1"/>
  <c r="AX289" i="8" s="1"/>
  <c r="AY289" i="8" s="1"/>
  <c r="AJ290" i="8"/>
  <c r="AO290" i="8" s="1"/>
  <c r="AP290" i="8" s="1"/>
  <c r="AT290" i="8"/>
  <c r="AW290" i="8" s="1"/>
  <c r="AX290" i="8" s="1"/>
  <c r="AY290" i="8" s="1"/>
  <c r="AL290" i="8"/>
  <c r="AQ290" i="8" s="1"/>
  <c r="BO291" i="8"/>
  <c r="BQ291" i="8" s="1"/>
  <c r="BR291" i="8" s="1"/>
  <c r="BS291" i="8" s="1"/>
  <c r="AL292" i="8"/>
  <c r="AQ292" i="8" s="1"/>
  <c r="AJ292" i="8"/>
  <c r="AO292" i="8" s="1"/>
  <c r="AP292" i="8" s="1"/>
  <c r="AT292" i="8"/>
  <c r="AW292" i="8" s="1"/>
  <c r="AX292" i="8" s="1"/>
  <c r="AY292" i="8" s="1"/>
  <c r="AL296" i="8"/>
  <c r="AQ296" i="8" s="1"/>
  <c r="AJ296" i="8"/>
  <c r="AO296" i="8" s="1"/>
  <c r="AP296" i="8" s="1"/>
  <c r="AT296" i="8"/>
  <c r="AW296" i="8" s="1"/>
  <c r="AX296" i="8" s="1"/>
  <c r="AY296" i="8" s="1"/>
  <c r="AT286" i="8"/>
  <c r="AW286" i="8" s="1"/>
  <c r="AX286" i="8" s="1"/>
  <c r="AY286" i="8" s="1"/>
  <c r="BA286" i="8" s="1"/>
  <c r="BE286" i="8"/>
  <c r="BJ286" i="8" s="1"/>
  <c r="BK286" i="8" s="1"/>
  <c r="AJ289" i="8"/>
  <c r="AO289" i="8" s="1"/>
  <c r="AP289" i="8" s="1"/>
  <c r="BE289" i="8"/>
  <c r="BJ289" i="8" s="1"/>
  <c r="BK289" i="8" s="1"/>
  <c r="BO289" i="8"/>
  <c r="BQ289" i="8" s="1"/>
  <c r="BR289" i="8" s="1"/>
  <c r="BS289" i="8" s="1"/>
  <c r="BE291" i="8"/>
  <c r="BJ291" i="8" s="1"/>
  <c r="BK291" i="8" s="1"/>
  <c r="BG292" i="8"/>
  <c r="BL292" i="8" s="1"/>
  <c r="BE294" i="8"/>
  <c r="BJ294" i="8" s="1"/>
  <c r="BK294" i="8" s="1"/>
  <c r="BG296" i="8"/>
  <c r="BL296" i="8" s="1"/>
  <c r="BG298" i="8"/>
  <c r="BL298" i="8" s="1"/>
  <c r="BO298" i="8"/>
  <c r="BQ298" i="8" s="1"/>
  <c r="BR298" i="8" s="1"/>
  <c r="BS298" i="8" s="1"/>
  <c r="BE298" i="8"/>
  <c r="BJ298" i="8" s="1"/>
  <c r="BK298" i="8" s="1"/>
  <c r="BZ301" i="8"/>
  <c r="BV301" i="8"/>
  <c r="BT301" i="8"/>
  <c r="BU301" i="8"/>
  <c r="BZ302" i="8"/>
  <c r="BV302" i="8"/>
  <c r="BX302" i="8"/>
  <c r="BT302" i="8"/>
  <c r="BU302" i="8"/>
  <c r="AY303" i="8"/>
  <c r="AL286" i="8"/>
  <c r="AQ286" i="8" s="1"/>
  <c r="BO290" i="8"/>
  <c r="BQ290" i="8" s="1"/>
  <c r="BR290" i="8" s="1"/>
  <c r="BS290" i="8" s="1"/>
  <c r="BE290" i="8"/>
  <c r="BJ290" i="8" s="1"/>
  <c r="BK290" i="8" s="1"/>
  <c r="BO293" i="8"/>
  <c r="BQ293" i="8" s="1"/>
  <c r="BR293" i="8" s="1"/>
  <c r="BS293" i="8" s="1"/>
  <c r="BE293" i="8"/>
  <c r="BJ293" i="8" s="1"/>
  <c r="BK293" i="8" s="1"/>
  <c r="AJ295" i="8"/>
  <c r="AO295" i="8" s="1"/>
  <c r="AP295" i="8" s="1"/>
  <c r="AL295" i="8"/>
  <c r="AQ295" i="8" s="1"/>
  <c r="AT295" i="8"/>
  <c r="AW295" i="8" s="1"/>
  <c r="AX295" i="8" s="1"/>
  <c r="AY295" i="8" s="1"/>
  <c r="BO297" i="8"/>
  <c r="BQ297" i="8" s="1"/>
  <c r="BR297" i="8" s="1"/>
  <c r="BS297" i="8" s="1"/>
  <c r="BE297" i="8"/>
  <c r="BJ297" i="8" s="1"/>
  <c r="BK297" i="8" s="1"/>
  <c r="AZ301" i="8"/>
  <c r="BW301" i="8"/>
  <c r="BB301" i="8"/>
  <c r="BY301" i="8"/>
  <c r="BG286" i="8"/>
  <c r="BL286" i="8" s="1"/>
  <c r="AL288" i="8"/>
  <c r="AQ288" i="8" s="1"/>
  <c r="BE292" i="8"/>
  <c r="BJ292" i="8" s="1"/>
  <c r="BK292" i="8" s="1"/>
  <c r="AL294" i="8"/>
  <c r="AQ294" i="8" s="1"/>
  <c r="AJ294" i="8"/>
  <c r="AO294" i="8" s="1"/>
  <c r="AP294" i="8" s="1"/>
  <c r="AT294" i="8"/>
  <c r="AW294" i="8" s="1"/>
  <c r="AX294" i="8" s="1"/>
  <c r="AY294" i="8" s="1"/>
  <c r="BE296" i="8"/>
  <c r="BJ296" i="8" s="1"/>
  <c r="BK296" i="8" s="1"/>
  <c r="AT298" i="8"/>
  <c r="AW298" i="8" s="1"/>
  <c r="AX298" i="8" s="1"/>
  <c r="AY298" i="8" s="1"/>
  <c r="AL298" i="8"/>
  <c r="AQ298" i="8" s="1"/>
  <c r="AJ298" i="8"/>
  <c r="AO298" i="8" s="1"/>
  <c r="AP298" i="8" s="1"/>
  <c r="AL299" i="8"/>
  <c r="AQ299" i="8" s="1"/>
  <c r="AT299" i="8"/>
  <c r="AW299" i="8" s="1"/>
  <c r="AX299" i="8" s="1"/>
  <c r="AY299" i="8" s="1"/>
  <c r="AJ299" i="8"/>
  <c r="AO299" i="8" s="1"/>
  <c r="AP299" i="8" s="1"/>
  <c r="BA301" i="8"/>
  <c r="BZ306" i="8"/>
  <c r="BV306" i="8"/>
  <c r="BX306" i="8"/>
  <c r="BT306" i="8"/>
  <c r="BU306" i="8"/>
  <c r="AY307" i="8"/>
  <c r="AJ293" i="8"/>
  <c r="AO293" i="8" s="1"/>
  <c r="AP293" i="8" s="1"/>
  <c r="AL293" i="8"/>
  <c r="AQ293" i="8" s="1"/>
  <c r="BG295" i="8"/>
  <c r="BL295" i="8" s="1"/>
  <c r="AJ297" i="8"/>
  <c r="AO297" i="8" s="1"/>
  <c r="AP297" i="8" s="1"/>
  <c r="AL297" i="8"/>
  <c r="AQ297" i="8" s="1"/>
  <c r="BB305" i="8"/>
  <c r="AZ306" i="8"/>
  <c r="BB306" i="8"/>
  <c r="BW306" i="8"/>
  <c r="BY306" i="8"/>
  <c r="AZ307" i="8"/>
  <c r="BW307" i="8"/>
  <c r="CI306" i="8"/>
  <c r="BE300" i="8"/>
  <c r="BJ300" i="8" s="1"/>
  <c r="BK300" i="8" s="1"/>
  <c r="CI305" i="8"/>
  <c r="BX307" i="8"/>
  <c r="BT307" i="8"/>
  <c r="BZ307" i="8"/>
  <c r="BV307" i="8"/>
  <c r="BG302" i="8"/>
  <c r="BL302" i="8" s="1"/>
  <c r="BG304" i="8"/>
  <c r="BL304" i="8" s="1"/>
  <c r="BG306" i="8"/>
  <c r="BL306" i="8" s="1"/>
  <c r="AZ271" i="8"/>
  <c r="BY271" i="8"/>
  <c r="BB271" i="8"/>
  <c r="BW271" i="8"/>
  <c r="BA271" i="8"/>
  <c r="BW258" i="8"/>
  <c r="BA258" i="8"/>
  <c r="BB258" i="8"/>
  <c r="AZ258" i="8"/>
  <c r="BY258" i="8"/>
  <c r="AJ254" i="8"/>
  <c r="AO254" i="8" s="1"/>
  <c r="AP254" i="8" s="1"/>
  <c r="AL254" i="8"/>
  <c r="AQ254" i="8" s="1"/>
  <c r="BW256" i="8"/>
  <c r="BA256" i="8"/>
  <c r="BY256" i="8"/>
  <c r="BB256" i="8"/>
  <c r="AZ256" i="8"/>
  <c r="BO256" i="8"/>
  <c r="BQ256" i="8" s="1"/>
  <c r="BR256" i="8" s="1"/>
  <c r="BS256" i="8" s="1"/>
  <c r="BG256" i="8"/>
  <c r="BL256" i="8" s="1"/>
  <c r="BE256" i="8"/>
  <c r="BJ256" i="8" s="1"/>
  <c r="BK256" i="8" s="1"/>
  <c r="BX268" i="8"/>
  <c r="BT268" i="8"/>
  <c r="BV268" i="8"/>
  <c r="BZ268" i="8"/>
  <c r="BU268" i="8"/>
  <c r="BY259" i="8"/>
  <c r="BW259" i="8"/>
  <c r="BB259" i="8"/>
  <c r="BA259" i="8"/>
  <c r="AZ259" i="8"/>
  <c r="BW260" i="8"/>
  <c r="BA260" i="8"/>
  <c r="AZ260" i="8"/>
  <c r="BY260" i="8"/>
  <c r="BB260" i="8"/>
  <c r="BX271" i="8"/>
  <c r="BT271" i="8"/>
  <c r="BZ271" i="8"/>
  <c r="BV271" i="8"/>
  <c r="BU271" i="8"/>
  <c r="BX275" i="8"/>
  <c r="BT275" i="8"/>
  <c r="BZ275" i="8"/>
  <c r="BV275" i="8"/>
  <c r="BU275" i="8"/>
  <c r="AT256" i="8"/>
  <c r="AW256" i="8" s="1"/>
  <c r="AX256" i="8" s="1"/>
  <c r="AY256" i="8" s="1"/>
  <c r="BS260" i="8"/>
  <c r="AT261" i="8"/>
  <c r="AW261" i="8" s="1"/>
  <c r="AX261" i="8" s="1"/>
  <c r="AY261" i="8" s="1"/>
  <c r="BG262" i="8"/>
  <c r="BL262" i="8" s="1"/>
  <c r="AL264" i="8"/>
  <c r="AQ264" i="8" s="1"/>
  <c r="AJ264" i="8"/>
  <c r="AO264" i="8" s="1"/>
  <c r="AP264" i="8" s="1"/>
  <c r="BE264" i="8"/>
  <c r="BJ264" i="8" s="1"/>
  <c r="BK264" i="8" s="1"/>
  <c r="BG266" i="8"/>
  <c r="BL266" i="8" s="1"/>
  <c r="AT268" i="8"/>
  <c r="AW268" i="8" s="1"/>
  <c r="AX268" i="8" s="1"/>
  <c r="AY268" i="8" s="1"/>
  <c r="AL268" i="8"/>
  <c r="AQ268" i="8" s="1"/>
  <c r="AJ268" i="8"/>
  <c r="AO268" i="8" s="1"/>
  <c r="AP268" i="8" s="1"/>
  <c r="AL269" i="8"/>
  <c r="AQ269" i="8" s="1"/>
  <c r="AT269" i="8"/>
  <c r="AW269" i="8" s="1"/>
  <c r="AX269" i="8" s="1"/>
  <c r="AY269" i="8" s="1"/>
  <c r="AJ269" i="8"/>
  <c r="AO269" i="8" s="1"/>
  <c r="AP269" i="8" s="1"/>
  <c r="BZ274" i="8"/>
  <c r="BV274" i="8"/>
  <c r="BX274" i="8"/>
  <c r="BT274" i="8"/>
  <c r="BU274" i="8"/>
  <c r="AL256" i="8"/>
  <c r="AQ256" i="8" s="1"/>
  <c r="BG257" i="8"/>
  <c r="BL257" i="8" s="1"/>
  <c r="AT258" i="8"/>
  <c r="AW258" i="8" s="1"/>
  <c r="AX258" i="8" s="1"/>
  <c r="AY258" i="8" s="1"/>
  <c r="BE258" i="8"/>
  <c r="BJ258" i="8" s="1"/>
  <c r="BK258" i="8" s="1"/>
  <c r="AJ261" i="8"/>
  <c r="AO261" i="8" s="1"/>
  <c r="AP261" i="8" s="1"/>
  <c r="BE261" i="8"/>
  <c r="BJ261" i="8" s="1"/>
  <c r="BK261" i="8" s="1"/>
  <c r="BO261" i="8"/>
  <c r="BQ261" i="8" s="1"/>
  <c r="BR261" i="8" s="1"/>
  <c r="BS261" i="8" s="1"/>
  <c r="AJ263" i="8"/>
  <c r="AO263" i="8" s="1"/>
  <c r="AP263" i="8" s="1"/>
  <c r="AL263" i="8"/>
  <c r="AQ263" i="8" s="1"/>
  <c r="BE263" i="8"/>
  <c r="BJ263" i="8" s="1"/>
  <c r="BK263" i="8" s="1"/>
  <c r="AT264" i="8"/>
  <c r="AW264" i="8" s="1"/>
  <c r="AX264" i="8" s="1"/>
  <c r="AY264" i="8" s="1"/>
  <c r="BG265" i="8"/>
  <c r="BL265" i="8" s="1"/>
  <c r="AJ267" i="8"/>
  <c r="AO267" i="8" s="1"/>
  <c r="AP267" i="8" s="1"/>
  <c r="AL267" i="8"/>
  <c r="AQ267" i="8" s="1"/>
  <c r="BE267" i="8"/>
  <c r="BJ267" i="8" s="1"/>
  <c r="BK267" i="8" s="1"/>
  <c r="BZ272" i="8"/>
  <c r="BV272" i="8"/>
  <c r="BX272" i="8"/>
  <c r="BT272" i="8"/>
  <c r="BZ276" i="8"/>
  <c r="BV276" i="8"/>
  <c r="BX276" i="8"/>
  <c r="BT276" i="8"/>
  <c r="AL258" i="8"/>
  <c r="AQ258" i="8" s="1"/>
  <c r="AL262" i="8"/>
  <c r="AQ262" i="8" s="1"/>
  <c r="AJ262" i="8"/>
  <c r="AO262" i="8" s="1"/>
  <c r="AP262" i="8" s="1"/>
  <c r="BG264" i="8"/>
  <c r="BL264" i="8" s="1"/>
  <c r="AL266" i="8"/>
  <c r="AQ266" i="8" s="1"/>
  <c r="AJ266" i="8"/>
  <c r="AO266" i="8" s="1"/>
  <c r="AP266" i="8" s="1"/>
  <c r="BG268" i="8"/>
  <c r="BL268" i="8" s="1"/>
  <c r="BO268" i="8"/>
  <c r="BQ268" i="8" s="1"/>
  <c r="BR268" i="8" s="1"/>
  <c r="BS268" i="8" s="1"/>
  <c r="BX273" i="8"/>
  <c r="BT273" i="8"/>
  <c r="BZ273" i="8"/>
  <c r="BV273" i="8"/>
  <c r="BU273" i="8"/>
  <c r="BB275" i="8"/>
  <c r="AJ257" i="8"/>
  <c r="AO257" i="8" s="1"/>
  <c r="AP257" i="8" s="1"/>
  <c r="BE257" i="8"/>
  <c r="BJ257" i="8" s="1"/>
  <c r="BK257" i="8" s="1"/>
  <c r="BG258" i="8"/>
  <c r="BL258" i="8" s="1"/>
  <c r="AL260" i="8"/>
  <c r="AQ260" i="8" s="1"/>
  <c r="AT262" i="8"/>
  <c r="AW262" i="8" s="1"/>
  <c r="AX262" i="8" s="1"/>
  <c r="AY262" i="8" s="1"/>
  <c r="BG263" i="8"/>
  <c r="BL263" i="8" s="1"/>
  <c r="AJ265" i="8"/>
  <c r="AO265" i="8" s="1"/>
  <c r="AP265" i="8" s="1"/>
  <c r="AL265" i="8"/>
  <c r="AQ265" i="8" s="1"/>
  <c r="AT266" i="8"/>
  <c r="AW266" i="8" s="1"/>
  <c r="AX266" i="8" s="1"/>
  <c r="AY266" i="8" s="1"/>
  <c r="BG267" i="8"/>
  <c r="BL267" i="8" s="1"/>
  <c r="AZ276" i="8"/>
  <c r="BB276" i="8"/>
  <c r="CI276" i="8"/>
  <c r="BE270" i="8"/>
  <c r="BJ270" i="8" s="1"/>
  <c r="BK270" i="8" s="1"/>
  <c r="CI275" i="8"/>
  <c r="BX277" i="8"/>
  <c r="BT277" i="8"/>
  <c r="BZ277" i="8"/>
  <c r="BV277" i="8"/>
  <c r="BG272" i="8"/>
  <c r="BL272" i="8" s="1"/>
  <c r="BG274" i="8"/>
  <c r="BL274" i="8" s="1"/>
  <c r="BG276" i="8"/>
  <c r="BL276" i="8" s="1"/>
  <c r="AZ244" i="8"/>
  <c r="BY244" i="8"/>
  <c r="BA244" i="8"/>
  <c r="BB244" i="8"/>
  <c r="BW244" i="8"/>
  <c r="AZ238" i="8"/>
  <c r="BY238" i="8"/>
  <c r="BA238" i="8"/>
  <c r="BB238" i="8"/>
  <c r="BW238" i="8"/>
  <c r="AZ240" i="8"/>
  <c r="BY240" i="8"/>
  <c r="BA240" i="8"/>
  <c r="BW240" i="8"/>
  <c r="BB240" i="8"/>
  <c r="BU233" i="8"/>
  <c r="BX233" i="8"/>
  <c r="BV233" i="8"/>
  <c r="BT233" i="8"/>
  <c r="BZ233" i="8"/>
  <c r="BX228" i="8"/>
  <c r="AJ229" i="8"/>
  <c r="AO229" i="8" s="1"/>
  <c r="AP229" i="8" s="1"/>
  <c r="AL229" i="8"/>
  <c r="AQ229" i="8" s="1"/>
  <c r="BE229" i="8"/>
  <c r="BJ229" i="8" s="1"/>
  <c r="BK229" i="8" s="1"/>
  <c r="BG231" i="8"/>
  <c r="BL231" i="8" s="1"/>
  <c r="BG235" i="8"/>
  <c r="BL235" i="8" s="1"/>
  <c r="BO235" i="8"/>
  <c r="BQ235" i="8" s="1"/>
  <c r="BR235" i="8" s="1"/>
  <c r="BS235" i="8" s="1"/>
  <c r="BE235" i="8"/>
  <c r="BJ235" i="8" s="1"/>
  <c r="BK235" i="8" s="1"/>
  <c r="BO236" i="8"/>
  <c r="BQ236" i="8" s="1"/>
  <c r="BR236" i="8" s="1"/>
  <c r="BS236" i="8" s="1"/>
  <c r="BE236" i="8"/>
  <c r="BJ236" i="8" s="1"/>
  <c r="BK236" i="8" s="1"/>
  <c r="BG236" i="8"/>
  <c r="BL236" i="8" s="1"/>
  <c r="BX242" i="8"/>
  <c r="BE227" i="8"/>
  <c r="BJ227" i="8" s="1"/>
  <c r="BK227" i="8" s="1"/>
  <c r="AL228" i="8"/>
  <c r="AQ228" i="8" s="1"/>
  <c r="AJ228" i="8"/>
  <c r="AO228" i="8" s="1"/>
  <c r="AP228" i="8" s="1"/>
  <c r="BS228" i="8"/>
  <c r="AT229" i="8"/>
  <c r="AW229" i="8" s="1"/>
  <c r="AX229" i="8" s="1"/>
  <c r="AY229" i="8" s="1"/>
  <c r="BG230" i="8"/>
  <c r="BL230" i="8" s="1"/>
  <c r="AJ232" i="8"/>
  <c r="AO232" i="8" s="1"/>
  <c r="AP232" i="8" s="1"/>
  <c r="AT232" i="8"/>
  <c r="AW232" i="8" s="1"/>
  <c r="AX232" i="8" s="1"/>
  <c r="AY232" i="8" s="1"/>
  <c r="AL232" i="8"/>
  <c r="AQ232" i="8" s="1"/>
  <c r="BU234" i="8"/>
  <c r="AL246" i="8"/>
  <c r="AQ246" i="8" s="1"/>
  <c r="AT246" i="8"/>
  <c r="AW246" i="8" s="1"/>
  <c r="AX246" i="8" s="1"/>
  <c r="AY246" i="8" s="1"/>
  <c r="AJ246" i="8"/>
  <c r="AO246" i="8" s="1"/>
  <c r="AP246" i="8" s="1"/>
  <c r="BG229" i="8"/>
  <c r="BL229" i="8" s="1"/>
  <c r="AJ231" i="8"/>
  <c r="AO231" i="8" s="1"/>
  <c r="AP231" i="8" s="1"/>
  <c r="AL231" i="8"/>
  <c r="AQ231" i="8" s="1"/>
  <c r="BE231" i="8"/>
  <c r="BJ231" i="8" s="1"/>
  <c r="BK231" i="8" s="1"/>
  <c r="AL235" i="8"/>
  <c r="AQ235" i="8" s="1"/>
  <c r="AJ235" i="8"/>
  <c r="AO235" i="8" s="1"/>
  <c r="AP235" i="8" s="1"/>
  <c r="AT235" i="8"/>
  <c r="AW235" i="8" s="1"/>
  <c r="AX235" i="8" s="1"/>
  <c r="AY235" i="8" s="1"/>
  <c r="AJ236" i="8"/>
  <c r="AO236" i="8" s="1"/>
  <c r="AP236" i="8" s="1"/>
  <c r="AT236" i="8"/>
  <c r="AW236" i="8" s="1"/>
  <c r="AX236" i="8" s="1"/>
  <c r="AY236" i="8" s="1"/>
  <c r="AL236" i="8"/>
  <c r="AQ236" i="8" s="1"/>
  <c r="AL242" i="8"/>
  <c r="AQ242" i="8" s="1"/>
  <c r="AT242" i="8"/>
  <c r="AW242" i="8" s="1"/>
  <c r="AX242" i="8" s="1"/>
  <c r="AY242" i="8" s="1"/>
  <c r="AJ242" i="8"/>
  <c r="AO242" i="8" s="1"/>
  <c r="AP242" i="8" s="1"/>
  <c r="BG228" i="8"/>
  <c r="BL228" i="8" s="1"/>
  <c r="AL230" i="8"/>
  <c r="AQ230" i="8" s="1"/>
  <c r="AJ230" i="8"/>
  <c r="AO230" i="8" s="1"/>
  <c r="AP230" i="8" s="1"/>
  <c r="BE230" i="8"/>
  <c r="BJ230" i="8" s="1"/>
  <c r="BK230" i="8" s="1"/>
  <c r="AT231" i="8"/>
  <c r="AW231" i="8" s="1"/>
  <c r="AX231" i="8" s="1"/>
  <c r="AY231" i="8" s="1"/>
  <c r="BO232" i="8"/>
  <c r="BQ232" i="8" s="1"/>
  <c r="BR232" i="8" s="1"/>
  <c r="BS232" i="8" s="1"/>
  <c r="BG232" i="8"/>
  <c r="BL232" i="8" s="1"/>
  <c r="BE232" i="8"/>
  <c r="BJ232" i="8" s="1"/>
  <c r="BK232" i="8" s="1"/>
  <c r="BW234" i="8"/>
  <c r="BA234" i="8"/>
  <c r="AZ234" i="8"/>
  <c r="BY234" i="8"/>
  <c r="BZ246" i="8"/>
  <c r="BV246" i="8"/>
  <c r="BU246" i="8"/>
  <c r="BX246" i="8"/>
  <c r="BT246" i="8"/>
  <c r="AT237" i="8"/>
  <c r="AW237" i="8" s="1"/>
  <c r="AX237" i="8" s="1"/>
  <c r="AY237" i="8" s="1"/>
  <c r="AL238" i="8"/>
  <c r="AQ238" i="8" s="1"/>
  <c r="AT238" i="8"/>
  <c r="AW238" i="8" s="1"/>
  <c r="AX238" i="8" s="1"/>
  <c r="AY238" i="8" s="1"/>
  <c r="AL240" i="8"/>
  <c r="AQ240" i="8" s="1"/>
  <c r="AT240" i="8"/>
  <c r="AW240" i="8" s="1"/>
  <c r="AX240" i="8" s="1"/>
  <c r="AY240" i="8" s="1"/>
  <c r="BZ244" i="8"/>
  <c r="BV244" i="8"/>
  <c r="BU244" i="8"/>
  <c r="BX244" i="8"/>
  <c r="AT233" i="8"/>
  <c r="AW233" i="8" s="1"/>
  <c r="AX233" i="8" s="1"/>
  <c r="AY233" i="8" s="1"/>
  <c r="AL234" i="8"/>
  <c r="AQ234" i="8" s="1"/>
  <c r="BZ238" i="8"/>
  <c r="BV238" i="8"/>
  <c r="BU238" i="8"/>
  <c r="BX238" i="8"/>
  <c r="AL244" i="8"/>
  <c r="AQ244" i="8" s="1"/>
  <c r="AT244" i="8"/>
  <c r="AW244" i="8" s="1"/>
  <c r="AX244" i="8" s="1"/>
  <c r="AY244" i="8" s="1"/>
  <c r="BG239" i="8"/>
  <c r="BL239" i="8" s="1"/>
  <c r="BO239" i="8"/>
  <c r="BQ239" i="8" s="1"/>
  <c r="BR239" i="8" s="1"/>
  <c r="BS239" i="8" s="1"/>
  <c r="BG241" i="8"/>
  <c r="BL241" i="8" s="1"/>
  <c r="BO241" i="8"/>
  <c r="BQ241" i="8" s="1"/>
  <c r="BR241" i="8" s="1"/>
  <c r="BS241" i="8" s="1"/>
  <c r="BG243" i="8"/>
  <c r="BL243" i="8" s="1"/>
  <c r="BO243" i="8"/>
  <c r="BQ243" i="8" s="1"/>
  <c r="BR243" i="8" s="1"/>
  <c r="BS243" i="8" s="1"/>
  <c r="BG245" i="8"/>
  <c r="BL245" i="8" s="1"/>
  <c r="BO245" i="8"/>
  <c r="BQ245" i="8" s="1"/>
  <c r="BR245" i="8" s="1"/>
  <c r="BS245" i="8" s="1"/>
  <c r="BG247" i="8"/>
  <c r="BL247" i="8" s="1"/>
  <c r="BO247" i="8"/>
  <c r="BQ247" i="8" s="1"/>
  <c r="BR247" i="8" s="1"/>
  <c r="BS247" i="8" s="1"/>
  <c r="BG238" i="8"/>
  <c r="BL238" i="8" s="1"/>
  <c r="BX239" i="8"/>
  <c r="BT239" i="8"/>
  <c r="BZ239" i="8"/>
  <c r="BX241" i="8"/>
  <c r="BT241" i="8"/>
  <c r="BZ241" i="8"/>
  <c r="BX243" i="8"/>
  <c r="BT243" i="8"/>
  <c r="BZ243" i="8"/>
  <c r="BX245" i="8"/>
  <c r="BT245" i="8"/>
  <c r="BZ245" i="8"/>
  <c r="BX247" i="8"/>
  <c r="BT247" i="8"/>
  <c r="BZ247" i="8"/>
  <c r="AJ239" i="8"/>
  <c r="AO239" i="8" s="1"/>
  <c r="AP239" i="8" s="1"/>
  <c r="AJ241" i="8"/>
  <c r="AO241" i="8" s="1"/>
  <c r="AP241" i="8" s="1"/>
  <c r="AJ243" i="8"/>
  <c r="AO243" i="8" s="1"/>
  <c r="AP243" i="8" s="1"/>
  <c r="AJ245" i="8"/>
  <c r="AO245" i="8" s="1"/>
  <c r="AP245" i="8" s="1"/>
  <c r="AJ247" i="8"/>
  <c r="AO247" i="8" s="1"/>
  <c r="AP247" i="8" s="1"/>
  <c r="BZ205" i="8"/>
  <c r="BV205" i="8"/>
  <c r="BX205" i="8"/>
  <c r="BT205" i="8"/>
  <c r="BU205" i="8"/>
  <c r="BB199" i="8"/>
  <c r="BY199" i="8"/>
  <c r="BW199" i="8"/>
  <c r="BA199" i="8"/>
  <c r="AZ199" i="8"/>
  <c r="BB202" i="8"/>
  <c r="AZ202" i="8"/>
  <c r="BA202" i="8"/>
  <c r="BY202" i="8"/>
  <c r="BW202" i="8"/>
  <c r="AZ203" i="8"/>
  <c r="BB203" i="8"/>
  <c r="AZ207" i="8"/>
  <c r="BB207" i="8"/>
  <c r="BA207" i="8"/>
  <c r="BY207" i="8"/>
  <c r="BW207" i="8"/>
  <c r="BX210" i="8"/>
  <c r="BT210" i="8"/>
  <c r="BV210" i="8"/>
  <c r="BZ210" i="8"/>
  <c r="BU210" i="8"/>
  <c r="BT198" i="8"/>
  <c r="BX202" i="8"/>
  <c r="BT202" i="8"/>
  <c r="BZ202" i="8"/>
  <c r="BV202" i="8"/>
  <c r="BU202" i="8"/>
  <c r="BZ200" i="8"/>
  <c r="BV200" i="8"/>
  <c r="BU200" i="8"/>
  <c r="BT200" i="8"/>
  <c r="BX200" i="8"/>
  <c r="BX215" i="8"/>
  <c r="BT215" i="8"/>
  <c r="BZ215" i="8"/>
  <c r="BV215" i="8"/>
  <c r="BU215" i="8"/>
  <c r="BV196" i="8"/>
  <c r="BU196" i="8"/>
  <c r="BE197" i="8"/>
  <c r="BJ197" i="8" s="1"/>
  <c r="BK197" i="8" s="1"/>
  <c r="BA201" i="8"/>
  <c r="BY201" i="8"/>
  <c r="CI207" i="8"/>
  <c r="BZ207" i="8"/>
  <c r="BV207" i="8"/>
  <c r="BX207" i="8"/>
  <c r="BT207" i="8"/>
  <c r="BZ214" i="8"/>
  <c r="BV214" i="8"/>
  <c r="BX214" i="8"/>
  <c r="BT214" i="8"/>
  <c r="BU214" i="8"/>
  <c r="AZ197" i="8"/>
  <c r="AJ198" i="8"/>
  <c r="AO198" i="8" s="1"/>
  <c r="AP198" i="8" s="1"/>
  <c r="AT198" i="8"/>
  <c r="AW198" i="8" s="1"/>
  <c r="AX198" i="8" s="1"/>
  <c r="AY198" i="8" s="1"/>
  <c r="BO201" i="8"/>
  <c r="BQ201" i="8" s="1"/>
  <c r="BR201" i="8" s="1"/>
  <c r="BS201" i="8" s="1"/>
  <c r="CI205" i="8"/>
  <c r="BA208" i="8"/>
  <c r="BT209" i="8"/>
  <c r="BX212" i="8"/>
  <c r="BT212" i="8"/>
  <c r="BZ216" i="8"/>
  <c r="BV216" i="8"/>
  <c r="BX216" i="8"/>
  <c r="BT216" i="8"/>
  <c r="BA197" i="8"/>
  <c r="BW197" i="8"/>
  <c r="BE201" i="8"/>
  <c r="BJ201" i="8" s="1"/>
  <c r="BK201" i="8" s="1"/>
  <c r="BZ203" i="8"/>
  <c r="BV203" i="8"/>
  <c r="BX203" i="8"/>
  <c r="BT203" i="8"/>
  <c r="AZ215" i="8"/>
  <c r="BT196" i="8"/>
  <c r="BO197" i="8"/>
  <c r="BQ197" i="8" s="1"/>
  <c r="BR197" i="8" s="1"/>
  <c r="BS197" i="8" s="1"/>
  <c r="BY197" i="8"/>
  <c r="BE199" i="8"/>
  <c r="BJ199" i="8" s="1"/>
  <c r="BK199" i="8" s="1"/>
  <c r="BW201" i="8"/>
  <c r="CI204" i="8"/>
  <c r="BX206" i="8"/>
  <c r="BT206" i="8"/>
  <c r="BZ206" i="8"/>
  <c r="BV206" i="8"/>
  <c r="BU207" i="8"/>
  <c r="BG210" i="8"/>
  <c r="BL210" i="8" s="1"/>
  <c r="BO210" i="8"/>
  <c r="BQ210" i="8" s="1"/>
  <c r="BR210" i="8" s="1"/>
  <c r="BS210" i="8" s="1"/>
  <c r="AT211" i="8"/>
  <c r="AW211" i="8" s="1"/>
  <c r="AX211" i="8" s="1"/>
  <c r="AY211" i="8" s="1"/>
  <c r="AL211" i="8"/>
  <c r="AQ211" i="8" s="1"/>
  <c r="AJ211" i="8"/>
  <c r="AO211" i="8" s="1"/>
  <c r="AP211" i="8" s="1"/>
  <c r="AZ212" i="8"/>
  <c r="BB212" i="8"/>
  <c r="BW212" i="8"/>
  <c r="BY212" i="8"/>
  <c r="AZ214" i="8"/>
  <c r="BW215" i="8"/>
  <c r="AZ216" i="8"/>
  <c r="BB216" i="8"/>
  <c r="BW216" i="8"/>
  <c r="BY216" i="8"/>
  <c r="BB217" i="8"/>
  <c r="AZ217" i="8"/>
  <c r="BW217" i="8"/>
  <c r="BA217" i="8"/>
  <c r="BG203" i="8"/>
  <c r="BL203" i="8" s="1"/>
  <c r="BG205" i="8"/>
  <c r="BL205" i="8" s="1"/>
  <c r="BG207" i="8"/>
  <c r="BL207" i="8" s="1"/>
  <c r="BE208" i="8"/>
  <c r="BJ208" i="8" s="1"/>
  <c r="BK208" i="8" s="1"/>
  <c r="CI211" i="8"/>
  <c r="CI216" i="8"/>
  <c r="CI215" i="8"/>
  <c r="BG212" i="8"/>
  <c r="BL212" i="8" s="1"/>
  <c r="BG214" i="8"/>
  <c r="BL214" i="8" s="1"/>
  <c r="BG216" i="8"/>
  <c r="BL216" i="8" s="1"/>
  <c r="BZ173" i="8"/>
  <c r="BV173" i="8"/>
  <c r="BT173" i="8"/>
  <c r="BX173" i="8"/>
  <c r="BU173" i="8"/>
  <c r="BY166" i="8"/>
  <c r="BW166" i="8"/>
  <c r="BA166" i="8"/>
  <c r="BB166" i="8"/>
  <c r="AZ166" i="8"/>
  <c r="BZ175" i="8"/>
  <c r="BV175" i="8"/>
  <c r="BX175" i="8"/>
  <c r="BU175" i="8"/>
  <c r="BT175" i="8"/>
  <c r="BX174" i="8"/>
  <c r="BT174" i="8"/>
  <c r="BV174" i="8"/>
  <c r="BU174" i="8"/>
  <c r="BZ174" i="8"/>
  <c r="BG168" i="8"/>
  <c r="BL168" i="8" s="1"/>
  <c r="AL170" i="8"/>
  <c r="AQ170" i="8" s="1"/>
  <c r="AJ170" i="8"/>
  <c r="AO170" i="8" s="1"/>
  <c r="AP170" i="8" s="1"/>
  <c r="BW177" i="8"/>
  <c r="BA177" i="8"/>
  <c r="AZ177" i="8"/>
  <c r="BY177" i="8"/>
  <c r="AZ180" i="8"/>
  <c r="BB180" i="8"/>
  <c r="BA180" i="8"/>
  <c r="BY180" i="8"/>
  <c r="BZ180" i="8"/>
  <c r="BV180" i="8"/>
  <c r="BX180" i="8"/>
  <c r="BT180" i="8"/>
  <c r="BU180" i="8"/>
  <c r="BW181" i="8"/>
  <c r="AT166" i="8"/>
  <c r="AW166" i="8" s="1"/>
  <c r="AX166" i="8" s="1"/>
  <c r="AY166" i="8" s="1"/>
  <c r="BE166" i="8"/>
  <c r="BJ166" i="8" s="1"/>
  <c r="BK166" i="8" s="1"/>
  <c r="BG167" i="8"/>
  <c r="BL167" i="8" s="1"/>
  <c r="AJ169" i="8"/>
  <c r="AO169" i="8" s="1"/>
  <c r="AP169" i="8" s="1"/>
  <c r="AL169" i="8"/>
  <c r="AQ169" i="8" s="1"/>
  <c r="BZ169" i="8"/>
  <c r="AT170" i="8"/>
  <c r="AW170" i="8" s="1"/>
  <c r="AX170" i="8" s="1"/>
  <c r="AY170" i="8" s="1"/>
  <c r="BG171" i="8"/>
  <c r="BL171" i="8" s="1"/>
  <c r="BG174" i="8"/>
  <c r="BL174" i="8" s="1"/>
  <c r="BO174" i="8"/>
  <c r="BQ174" i="8" s="1"/>
  <c r="BR174" i="8" s="1"/>
  <c r="BS174" i="8" s="1"/>
  <c r="AT175" i="8"/>
  <c r="AW175" i="8" s="1"/>
  <c r="AX175" i="8" s="1"/>
  <c r="AY175" i="8" s="1"/>
  <c r="AJ175" i="8"/>
  <c r="AO175" i="8" s="1"/>
  <c r="AP175" i="8" s="1"/>
  <c r="AL175" i="8"/>
  <c r="AQ175" i="8" s="1"/>
  <c r="BB177" i="8"/>
  <c r="BE178" i="8"/>
  <c r="BJ178" i="8" s="1"/>
  <c r="BK178" i="8" s="1"/>
  <c r="BG178" i="8"/>
  <c r="BL178" i="8" s="1"/>
  <c r="BO178" i="8"/>
  <c r="BQ178" i="8" s="1"/>
  <c r="BR178" i="8" s="1"/>
  <c r="BS178" i="8" s="1"/>
  <c r="BW180" i="8"/>
  <c r="AL166" i="8"/>
  <c r="AQ166" i="8" s="1"/>
  <c r="AL168" i="8"/>
  <c r="AQ168" i="8" s="1"/>
  <c r="AJ168" i="8"/>
  <c r="AO168" i="8" s="1"/>
  <c r="AP168" i="8" s="1"/>
  <c r="BE168" i="8"/>
  <c r="BJ168" i="8" s="1"/>
  <c r="BK168" i="8" s="1"/>
  <c r="BG170" i="8"/>
  <c r="BL170" i="8" s="1"/>
  <c r="AZ173" i="8"/>
  <c r="BW173" i="8"/>
  <c r="BB173" i="8"/>
  <c r="BY173" i="8"/>
  <c r="BG166" i="8"/>
  <c r="BL166" i="8" s="1"/>
  <c r="AJ167" i="8"/>
  <c r="AO167" i="8" s="1"/>
  <c r="AP167" i="8" s="1"/>
  <c r="AL167" i="8"/>
  <c r="AQ167" i="8" s="1"/>
  <c r="BE167" i="8"/>
  <c r="BJ167" i="8" s="1"/>
  <c r="BK167" i="8" s="1"/>
  <c r="AT168" i="8"/>
  <c r="AW168" i="8" s="1"/>
  <c r="AX168" i="8" s="1"/>
  <c r="AY168" i="8" s="1"/>
  <c r="BG169" i="8"/>
  <c r="BL169" i="8" s="1"/>
  <c r="AJ171" i="8"/>
  <c r="AO171" i="8" s="1"/>
  <c r="AP171" i="8" s="1"/>
  <c r="AL171" i="8"/>
  <c r="AQ171" i="8" s="1"/>
  <c r="BE171" i="8"/>
  <c r="BJ171" i="8" s="1"/>
  <c r="BK171" i="8" s="1"/>
  <c r="BA172" i="8"/>
  <c r="BB176" i="8"/>
  <c r="BW176" i="8"/>
  <c r="BA176" i="8"/>
  <c r="BZ186" i="8"/>
  <c r="BV186" i="8"/>
  <c r="BX186" i="8"/>
  <c r="BT186" i="8"/>
  <c r="CI174" i="8"/>
  <c r="BE176" i="8"/>
  <c r="BJ176" i="8" s="1"/>
  <c r="BK176" i="8" s="1"/>
  <c r="AT177" i="8"/>
  <c r="AW177" i="8" s="1"/>
  <c r="AX177" i="8" s="1"/>
  <c r="AY177" i="8" s="1"/>
  <c r="BS177" i="8"/>
  <c r="BZ184" i="8"/>
  <c r="BV184" i="8"/>
  <c r="BX184" i="8"/>
  <c r="BT184" i="8"/>
  <c r="BU184" i="8"/>
  <c r="BE172" i="8"/>
  <c r="BJ172" i="8" s="1"/>
  <c r="BK172" i="8" s="1"/>
  <c r="AL177" i="8"/>
  <c r="AQ177" i="8" s="1"/>
  <c r="BB179" i="8"/>
  <c r="AZ179" i="8"/>
  <c r="BW179" i="8"/>
  <c r="BA179" i="8"/>
  <c r="BY179" i="8"/>
  <c r="BZ182" i="8"/>
  <c r="BV182" i="8"/>
  <c r="BX182" i="8"/>
  <c r="BT182" i="8"/>
  <c r="BU182" i="8"/>
  <c r="CI178" i="8"/>
  <c r="CI182" i="8"/>
  <c r="CI186" i="8"/>
  <c r="CI179" i="8"/>
  <c r="CI183" i="8"/>
  <c r="CI187" i="8"/>
  <c r="BE179" i="8"/>
  <c r="BJ179" i="8" s="1"/>
  <c r="BK179" i="8" s="1"/>
  <c r="BG180" i="8"/>
  <c r="BL180" i="8" s="1"/>
  <c r="BE181" i="8"/>
  <c r="BJ181" i="8" s="1"/>
  <c r="BK181" i="8" s="1"/>
  <c r="BG182" i="8"/>
  <c r="BL182" i="8" s="1"/>
  <c r="BE183" i="8"/>
  <c r="BJ183" i="8" s="1"/>
  <c r="BK183" i="8" s="1"/>
  <c r="BG184" i="8"/>
  <c r="BL184" i="8" s="1"/>
  <c r="BE185" i="8"/>
  <c r="BJ185" i="8" s="1"/>
  <c r="BK185" i="8" s="1"/>
  <c r="BG186" i="8"/>
  <c r="BL186" i="8" s="1"/>
  <c r="BE187" i="8"/>
  <c r="BJ187" i="8" s="1"/>
  <c r="BK187" i="8" s="1"/>
  <c r="BU139" i="8"/>
  <c r="BX139" i="8"/>
  <c r="BZ139" i="8"/>
  <c r="BV139" i="8"/>
  <c r="BT139" i="8"/>
  <c r="BG137" i="8"/>
  <c r="BL137" i="8" s="1"/>
  <c r="AJ139" i="8"/>
  <c r="AO139" i="8" s="1"/>
  <c r="AP139" i="8" s="1"/>
  <c r="AL139" i="8"/>
  <c r="AQ139" i="8" s="1"/>
  <c r="BO143" i="8"/>
  <c r="BQ143" i="8" s="1"/>
  <c r="BR143" i="8" s="1"/>
  <c r="BS143" i="8" s="1"/>
  <c r="BE143" i="8"/>
  <c r="BJ143" i="8" s="1"/>
  <c r="BK143" i="8" s="1"/>
  <c r="BG143" i="8"/>
  <c r="BL143" i="8" s="1"/>
  <c r="BW145" i="8"/>
  <c r="BA145" i="8"/>
  <c r="BY145" i="8"/>
  <c r="AZ145" i="8"/>
  <c r="BB145" i="8"/>
  <c r="BG136" i="8"/>
  <c r="BL136" i="8" s="1"/>
  <c r="AL140" i="8"/>
  <c r="AQ140" i="8" s="1"/>
  <c r="AJ140" i="8"/>
  <c r="AO140" i="8" s="1"/>
  <c r="AP140" i="8" s="1"/>
  <c r="AT140" i="8"/>
  <c r="AW140" i="8" s="1"/>
  <c r="AX140" i="8" s="1"/>
  <c r="AY140" i="8" s="1"/>
  <c r="AJ144" i="8"/>
  <c r="AO144" i="8" s="1"/>
  <c r="AP144" i="8" s="1"/>
  <c r="AT144" i="8"/>
  <c r="AW144" i="8" s="1"/>
  <c r="AX144" i="8" s="1"/>
  <c r="AY144" i="8" s="1"/>
  <c r="AL144" i="8"/>
  <c r="AQ144" i="8" s="1"/>
  <c r="AJ137" i="8"/>
  <c r="AO137" i="8" s="1"/>
  <c r="AP137" i="8" s="1"/>
  <c r="AL137" i="8"/>
  <c r="AQ137" i="8" s="1"/>
  <c r="BE137" i="8"/>
  <c r="BJ137" i="8" s="1"/>
  <c r="BK137" i="8" s="1"/>
  <c r="BG139" i="8"/>
  <c r="BL139" i="8" s="1"/>
  <c r="AZ154" i="8"/>
  <c r="BY154" i="8"/>
  <c r="BA154" i="8"/>
  <c r="BW154" i="8"/>
  <c r="BB154" i="8"/>
  <c r="BY150" i="8"/>
  <c r="BW150" i="8"/>
  <c r="BU152" i="8"/>
  <c r="AL138" i="8"/>
  <c r="AQ138" i="8" s="1"/>
  <c r="AJ138" i="8"/>
  <c r="AO138" i="8" s="1"/>
  <c r="AP138" i="8" s="1"/>
  <c r="AT139" i="8"/>
  <c r="AW139" i="8" s="1"/>
  <c r="AX139" i="8" s="1"/>
  <c r="AY139" i="8" s="1"/>
  <c r="BY141" i="8"/>
  <c r="BA141" i="8"/>
  <c r="BW141" i="8"/>
  <c r="BB141" i="8"/>
  <c r="AL136" i="8"/>
  <c r="AQ136" i="8" s="1"/>
  <c r="AJ136" i="8"/>
  <c r="AO136" i="8" s="1"/>
  <c r="AP136" i="8" s="1"/>
  <c r="BE136" i="8"/>
  <c r="BJ136" i="8" s="1"/>
  <c r="BK136" i="8" s="1"/>
  <c r="BG138" i="8"/>
  <c r="BL138" i="8" s="1"/>
  <c r="AZ141" i="8"/>
  <c r="BW142" i="8"/>
  <c r="BV142" i="8"/>
  <c r="AZ156" i="8"/>
  <c r="BY156" i="8"/>
  <c r="BA156" i="8"/>
  <c r="BW156" i="8"/>
  <c r="BB156" i="8"/>
  <c r="BE140" i="8"/>
  <c r="BJ140" i="8" s="1"/>
  <c r="BK140" i="8" s="1"/>
  <c r="AT141" i="8"/>
  <c r="AW141" i="8" s="1"/>
  <c r="AX141" i="8" s="1"/>
  <c r="AY141" i="8" s="1"/>
  <c r="AJ147" i="8"/>
  <c r="AO147" i="8" s="1"/>
  <c r="AP147" i="8" s="1"/>
  <c r="AL147" i="8"/>
  <c r="AQ147" i="8" s="1"/>
  <c r="BE147" i="8"/>
  <c r="BJ147" i="8" s="1"/>
  <c r="BK147" i="8" s="1"/>
  <c r="BZ154" i="8"/>
  <c r="BV154" i="8"/>
  <c r="BU154" i="8"/>
  <c r="BZ156" i="8"/>
  <c r="BV156" i="8"/>
  <c r="BU156" i="8"/>
  <c r="AL141" i="8"/>
  <c r="AQ141" i="8" s="1"/>
  <c r="AL142" i="8"/>
  <c r="AQ142" i="8" s="1"/>
  <c r="BE144" i="8"/>
  <c r="BJ144" i="8" s="1"/>
  <c r="BK144" i="8" s="1"/>
  <c r="AL146" i="8"/>
  <c r="AQ146" i="8" s="1"/>
  <c r="AJ146" i="8"/>
  <c r="AO146" i="8" s="1"/>
  <c r="AP146" i="8" s="1"/>
  <c r="BE146" i="8"/>
  <c r="BJ146" i="8" s="1"/>
  <c r="BK146" i="8" s="1"/>
  <c r="AT147" i="8"/>
  <c r="AW147" i="8" s="1"/>
  <c r="AX147" i="8" s="1"/>
  <c r="AY147" i="8" s="1"/>
  <c r="BE148" i="8"/>
  <c r="BJ148" i="8" s="1"/>
  <c r="BK148" i="8" s="1"/>
  <c r="BG148" i="8"/>
  <c r="BL148" i="8" s="1"/>
  <c r="BB151" i="8"/>
  <c r="BW151" i="8"/>
  <c r="BA151" i="8"/>
  <c r="BY151" i="8"/>
  <c r="AZ151" i="8"/>
  <c r="AL152" i="8"/>
  <c r="AQ152" i="8" s="1"/>
  <c r="AJ152" i="8"/>
  <c r="AO152" i="8" s="1"/>
  <c r="AP152" i="8" s="1"/>
  <c r="AT152" i="8"/>
  <c r="AW152" i="8" s="1"/>
  <c r="AX152" i="8" s="1"/>
  <c r="AY152" i="8" s="1"/>
  <c r="BT154" i="8"/>
  <c r="BT156" i="8"/>
  <c r="BG147" i="8"/>
  <c r="BL147" i="8" s="1"/>
  <c r="BZ150" i="8"/>
  <c r="BV150" i="8"/>
  <c r="BU150" i="8"/>
  <c r="BT150" i="8"/>
  <c r="BG155" i="8"/>
  <c r="BL155" i="8" s="1"/>
  <c r="BO155" i="8"/>
  <c r="BQ155" i="8" s="1"/>
  <c r="BR155" i="8" s="1"/>
  <c r="BS155" i="8" s="1"/>
  <c r="BE155" i="8"/>
  <c r="BJ155" i="8" s="1"/>
  <c r="BK155" i="8" s="1"/>
  <c r="BG157" i="8"/>
  <c r="BL157" i="8" s="1"/>
  <c r="BO157" i="8"/>
  <c r="BQ157" i="8" s="1"/>
  <c r="BR157" i="8" s="1"/>
  <c r="BS157" i="8" s="1"/>
  <c r="BE157" i="8"/>
  <c r="BJ157" i="8" s="1"/>
  <c r="BK157" i="8" s="1"/>
  <c r="AJ143" i="8"/>
  <c r="AO143" i="8" s="1"/>
  <c r="AP143" i="8" s="1"/>
  <c r="BG144" i="8"/>
  <c r="BL144" i="8" s="1"/>
  <c r="BG146" i="8"/>
  <c r="BL146" i="8" s="1"/>
  <c r="AL148" i="8"/>
  <c r="AQ148" i="8" s="1"/>
  <c r="AT148" i="8"/>
  <c r="AW148" i="8" s="1"/>
  <c r="AX148" i="8" s="1"/>
  <c r="AY148" i="8" s="1"/>
  <c r="AJ148" i="8"/>
  <c r="AO148" i="8" s="1"/>
  <c r="AP148" i="8" s="1"/>
  <c r="BX149" i="8"/>
  <c r="BT149" i="8"/>
  <c r="BV149" i="8"/>
  <c r="BZ149" i="8"/>
  <c r="BX150" i="8"/>
  <c r="BG151" i="8"/>
  <c r="BL151" i="8" s="1"/>
  <c r="BO151" i="8"/>
  <c r="BQ151" i="8" s="1"/>
  <c r="BR151" i="8" s="1"/>
  <c r="BS151" i="8" s="1"/>
  <c r="BE151" i="8"/>
  <c r="BJ151" i="8" s="1"/>
  <c r="BK151" i="8" s="1"/>
  <c r="BG153" i="8"/>
  <c r="BL153" i="8" s="1"/>
  <c r="BO153" i="8"/>
  <c r="BQ153" i="8" s="1"/>
  <c r="BR153" i="8" s="1"/>
  <c r="BS153" i="8" s="1"/>
  <c r="BG149" i="8"/>
  <c r="BL149" i="8" s="1"/>
  <c r="BO149" i="8"/>
  <c r="BQ149" i="8" s="1"/>
  <c r="BR149" i="8" s="1"/>
  <c r="BS149" i="8" s="1"/>
  <c r="BX153" i="8"/>
  <c r="BT153" i="8"/>
  <c r="BZ153" i="8"/>
  <c r="AJ155" i="8"/>
  <c r="AO155" i="8" s="1"/>
  <c r="AP155" i="8" s="1"/>
  <c r="AJ157" i="8"/>
  <c r="AO157" i="8" s="1"/>
  <c r="AP157" i="8" s="1"/>
  <c r="BX112" i="8"/>
  <c r="BT112" i="8"/>
  <c r="BZ112" i="8"/>
  <c r="BV112" i="8"/>
  <c r="BU112" i="8"/>
  <c r="BZ115" i="8"/>
  <c r="BV115" i="8"/>
  <c r="BX115" i="8"/>
  <c r="BT115" i="8"/>
  <c r="BU115" i="8"/>
  <c r="AZ108" i="8"/>
  <c r="BY108" i="8"/>
  <c r="BW108" i="8"/>
  <c r="BB108" i="8"/>
  <c r="BA108" i="8"/>
  <c r="BT111" i="8"/>
  <c r="BB112" i="8"/>
  <c r="AZ112" i="8"/>
  <c r="BA112" i="8"/>
  <c r="BY112" i="8"/>
  <c r="BW112" i="8"/>
  <c r="AZ113" i="8"/>
  <c r="BB113" i="8"/>
  <c r="BY113" i="8"/>
  <c r="BW113" i="8"/>
  <c r="BA113" i="8"/>
  <c r="AZ117" i="8"/>
  <c r="BB117" i="8"/>
  <c r="BA117" i="8"/>
  <c r="BY117" i="8"/>
  <c r="BW117" i="8"/>
  <c r="BZ110" i="8"/>
  <c r="BV110" i="8"/>
  <c r="BU110" i="8"/>
  <c r="BT110" i="8"/>
  <c r="BX110" i="8"/>
  <c r="BX114" i="8"/>
  <c r="BT114" i="8"/>
  <c r="BZ114" i="8"/>
  <c r="BV114" i="8"/>
  <c r="BU114" i="8"/>
  <c r="CI107" i="8"/>
  <c r="BE109" i="8"/>
  <c r="BJ109" i="8" s="1"/>
  <c r="BK109" i="8" s="1"/>
  <c r="AZ111" i="8"/>
  <c r="BB111" i="8"/>
  <c r="BY111" i="8"/>
  <c r="BA115" i="8"/>
  <c r="CI117" i="8"/>
  <c r="BZ117" i="8"/>
  <c r="BV117" i="8"/>
  <c r="BX117" i="8"/>
  <c r="BT117" i="8"/>
  <c r="BB121" i="8"/>
  <c r="AZ121" i="8"/>
  <c r="BW121" i="8"/>
  <c r="BY121" i="8"/>
  <c r="CI124" i="8"/>
  <c r="BZ124" i="8"/>
  <c r="BV124" i="8"/>
  <c r="BX124" i="8"/>
  <c r="BT124" i="8"/>
  <c r="BU124" i="8"/>
  <c r="BB127" i="8"/>
  <c r="AZ127" i="8"/>
  <c r="BW127" i="8"/>
  <c r="BY127" i="8"/>
  <c r="AL106" i="8"/>
  <c r="AQ106" i="8" s="1"/>
  <c r="BE107" i="8"/>
  <c r="BJ107" i="8" s="1"/>
  <c r="BK107" i="8" s="1"/>
  <c r="AZ109" i="8"/>
  <c r="AJ110" i="8"/>
  <c r="AO110" i="8" s="1"/>
  <c r="AP110" i="8" s="1"/>
  <c r="AT110" i="8"/>
  <c r="AW110" i="8" s="1"/>
  <c r="AX110" i="8" s="1"/>
  <c r="AY110" i="8" s="1"/>
  <c r="CI110" i="8"/>
  <c r="CI115" i="8"/>
  <c r="AZ118" i="8"/>
  <c r="BB118" i="8"/>
  <c r="BY118" i="8"/>
  <c r="BA118" i="8"/>
  <c r="BA121" i="8"/>
  <c r="CI122" i="8"/>
  <c r="BZ122" i="8"/>
  <c r="BV122" i="8"/>
  <c r="BX122" i="8"/>
  <c r="BT122" i="8"/>
  <c r="BU122" i="8"/>
  <c r="AZ126" i="8"/>
  <c r="BB126" i="8"/>
  <c r="BY126" i="8"/>
  <c r="BA126" i="8"/>
  <c r="BA127" i="8"/>
  <c r="BA109" i="8"/>
  <c r="BW109" i="8"/>
  <c r="BX113" i="8"/>
  <c r="AZ115" i="8"/>
  <c r="BB115" i="8"/>
  <c r="BY115" i="8"/>
  <c r="BB119" i="8"/>
  <c r="AZ119" i="8"/>
  <c r="BW119" i="8"/>
  <c r="BY119" i="8"/>
  <c r="AZ120" i="8"/>
  <c r="BB120" i="8"/>
  <c r="BA120" i="8"/>
  <c r="BY120" i="8"/>
  <c r="AJ106" i="8"/>
  <c r="AO106" i="8" s="1"/>
  <c r="AP106" i="8" s="1"/>
  <c r="BO109" i="8"/>
  <c r="BQ109" i="8" s="1"/>
  <c r="BR109" i="8" s="1"/>
  <c r="BS109" i="8" s="1"/>
  <c r="BY109" i="8"/>
  <c r="BW111" i="8"/>
  <c r="CI114" i="8"/>
  <c r="BX116" i="8"/>
  <c r="BT116" i="8"/>
  <c r="BZ116" i="8"/>
  <c r="BV116" i="8"/>
  <c r="BU117" i="8"/>
  <c r="BA119" i="8"/>
  <c r="BV120" i="8"/>
  <c r="BX120" i="8"/>
  <c r="BB123" i="8"/>
  <c r="AZ123" i="8"/>
  <c r="BW123" i="8"/>
  <c r="BY123" i="8"/>
  <c r="BG111" i="8"/>
  <c r="BL111" i="8" s="1"/>
  <c r="BG113" i="8"/>
  <c r="BL113" i="8" s="1"/>
  <c r="BG115" i="8"/>
  <c r="BL115" i="8" s="1"/>
  <c r="BG117" i="8"/>
  <c r="BL117" i="8" s="1"/>
  <c r="BE118" i="8"/>
  <c r="BJ118" i="8" s="1"/>
  <c r="BK118" i="8" s="1"/>
  <c r="BG118" i="8"/>
  <c r="BL118" i="8" s="1"/>
  <c r="BO118" i="8"/>
  <c r="BQ118" i="8" s="1"/>
  <c r="BR118" i="8" s="1"/>
  <c r="BS118" i="8" s="1"/>
  <c r="CI121" i="8"/>
  <c r="CI125" i="8"/>
  <c r="BE119" i="8"/>
  <c r="BJ119" i="8" s="1"/>
  <c r="BK119" i="8" s="1"/>
  <c r="BG120" i="8"/>
  <c r="BL120" i="8" s="1"/>
  <c r="BE121" i="8"/>
  <c r="BJ121" i="8" s="1"/>
  <c r="BK121" i="8" s="1"/>
  <c r="BG122" i="8"/>
  <c r="BL122" i="8" s="1"/>
  <c r="BE123" i="8"/>
  <c r="BJ123" i="8" s="1"/>
  <c r="BK123" i="8" s="1"/>
  <c r="BG124" i="8"/>
  <c r="BL124" i="8" s="1"/>
  <c r="BE125" i="8"/>
  <c r="BJ125" i="8" s="1"/>
  <c r="BK125" i="8" s="1"/>
  <c r="BG126" i="8"/>
  <c r="BL126" i="8" s="1"/>
  <c r="BE127" i="8"/>
  <c r="BJ127" i="8" s="1"/>
  <c r="BK127" i="8" s="1"/>
  <c r="BY82" i="8"/>
  <c r="AZ94" i="8"/>
  <c r="BY94" i="8"/>
  <c r="BA94" i="8"/>
  <c r="BB94" i="8"/>
  <c r="BW94" i="8"/>
  <c r="AZ78" i="8"/>
  <c r="BW78" i="8"/>
  <c r="BB78" i="8"/>
  <c r="BA78" i="8"/>
  <c r="BY78" i="8"/>
  <c r="BV80" i="8"/>
  <c r="BX80" i="8"/>
  <c r="AZ90" i="8"/>
  <c r="BY90" i="8"/>
  <c r="BA90" i="8"/>
  <c r="BW90" i="8"/>
  <c r="BB90" i="8"/>
  <c r="BW77" i="8"/>
  <c r="BZ76" i="8"/>
  <c r="BV76" i="8"/>
  <c r="BX76" i="8"/>
  <c r="BT76" i="8"/>
  <c r="BU76" i="8"/>
  <c r="AZ86" i="8"/>
  <c r="BW86" i="8"/>
  <c r="BB86" i="8"/>
  <c r="BY86" i="8"/>
  <c r="BA86" i="8"/>
  <c r="AZ88" i="8"/>
  <c r="BY88" i="8"/>
  <c r="BA88" i="8"/>
  <c r="BB88" i="8"/>
  <c r="BW88" i="8"/>
  <c r="CI81" i="8"/>
  <c r="BZ82" i="8"/>
  <c r="BV82" i="8"/>
  <c r="BU82" i="8"/>
  <c r="BB83" i="8"/>
  <c r="AZ83" i="8"/>
  <c r="BW83" i="8"/>
  <c r="AL84" i="8"/>
  <c r="AQ84" i="8" s="1"/>
  <c r="AT84" i="8"/>
  <c r="AW84" i="8" s="1"/>
  <c r="AX84" i="8" s="1"/>
  <c r="AY84" i="8" s="1"/>
  <c r="AJ84" i="8"/>
  <c r="AO84" i="8" s="1"/>
  <c r="AP84" i="8" s="1"/>
  <c r="AZ85" i="8"/>
  <c r="BW87" i="8"/>
  <c r="BA87" i="8"/>
  <c r="AZ87" i="8"/>
  <c r="BE87" i="8"/>
  <c r="BJ87" i="8" s="1"/>
  <c r="BK87" i="8" s="1"/>
  <c r="BZ92" i="8"/>
  <c r="BV92" i="8"/>
  <c r="BU92" i="8"/>
  <c r="BX92" i="8"/>
  <c r="BT92" i="8"/>
  <c r="BG76" i="8"/>
  <c r="BL76" i="8" s="1"/>
  <c r="CI79" i="8"/>
  <c r="BO79" i="8"/>
  <c r="BQ79" i="8" s="1"/>
  <c r="BR79" i="8" s="1"/>
  <c r="BS79" i="8" s="1"/>
  <c r="AL80" i="8"/>
  <c r="AQ80" i="8" s="1"/>
  <c r="BE81" i="8"/>
  <c r="BJ81" i="8" s="1"/>
  <c r="BK81" i="8" s="1"/>
  <c r="BX82" i="8"/>
  <c r="BE83" i="8"/>
  <c r="BJ83" i="8" s="1"/>
  <c r="BK83" i="8" s="1"/>
  <c r="BY83" i="8"/>
  <c r="BY87" i="8"/>
  <c r="AY89" i="8"/>
  <c r="AL96" i="8"/>
  <c r="AQ96" i="8" s="1"/>
  <c r="AT96" i="8"/>
  <c r="AW96" i="8" s="1"/>
  <c r="AX96" i="8" s="1"/>
  <c r="AY96" i="8" s="1"/>
  <c r="AJ96" i="8"/>
  <c r="AO96" i="8" s="1"/>
  <c r="AP96" i="8" s="1"/>
  <c r="BE79" i="8"/>
  <c r="BJ79" i="8" s="1"/>
  <c r="BK79" i="8" s="1"/>
  <c r="BB85" i="8"/>
  <c r="BW85" i="8"/>
  <c r="BA85" i="8"/>
  <c r="BX89" i="8"/>
  <c r="BT89" i="8"/>
  <c r="BV89" i="8"/>
  <c r="BZ89" i="8"/>
  <c r="AL92" i="8"/>
  <c r="AQ92" i="8" s="1"/>
  <c r="AT92" i="8"/>
  <c r="AW92" i="8" s="1"/>
  <c r="AX92" i="8" s="1"/>
  <c r="AY92" i="8" s="1"/>
  <c r="AJ92" i="8"/>
  <c r="AO92" i="8" s="1"/>
  <c r="AP92" i="8" s="1"/>
  <c r="AJ80" i="8"/>
  <c r="AO80" i="8" s="1"/>
  <c r="AP80" i="8" s="1"/>
  <c r="BT82" i="8"/>
  <c r="BA83" i="8"/>
  <c r="BO83" i="8"/>
  <c r="BQ83" i="8" s="1"/>
  <c r="BR83" i="8" s="1"/>
  <c r="BS83" i="8" s="1"/>
  <c r="BZ88" i="8"/>
  <c r="BZ96" i="8"/>
  <c r="BV96" i="8"/>
  <c r="BU96" i="8"/>
  <c r="BX96" i="8"/>
  <c r="BT96" i="8"/>
  <c r="AL88" i="8"/>
  <c r="AQ88" i="8" s="1"/>
  <c r="AT88" i="8"/>
  <c r="AW88" i="8" s="1"/>
  <c r="AX88" i="8" s="1"/>
  <c r="AY88" i="8" s="1"/>
  <c r="BG88" i="8"/>
  <c r="BL88" i="8" s="1"/>
  <c r="AL90" i="8"/>
  <c r="AQ90" i="8" s="1"/>
  <c r="AT90" i="8"/>
  <c r="AW90" i="8" s="1"/>
  <c r="AX90" i="8" s="1"/>
  <c r="AY90" i="8" s="1"/>
  <c r="BZ94" i="8"/>
  <c r="BV94" i="8"/>
  <c r="BU94" i="8"/>
  <c r="BX94" i="8"/>
  <c r="BE85" i="8"/>
  <c r="BJ85" i="8" s="1"/>
  <c r="BK85" i="8" s="1"/>
  <c r="BX90" i="8"/>
  <c r="AL94" i="8"/>
  <c r="AQ94" i="8" s="1"/>
  <c r="AT94" i="8"/>
  <c r="AW94" i="8" s="1"/>
  <c r="AX94" i="8" s="1"/>
  <c r="AY94" i="8" s="1"/>
  <c r="AL87" i="8"/>
  <c r="AQ87" i="8" s="1"/>
  <c r="BG89" i="8"/>
  <c r="BL89" i="8" s="1"/>
  <c r="BO89" i="8"/>
  <c r="BQ89" i="8" s="1"/>
  <c r="BR89" i="8" s="1"/>
  <c r="BS89" i="8" s="1"/>
  <c r="BG91" i="8"/>
  <c r="BL91" i="8" s="1"/>
  <c r="BO91" i="8"/>
  <c r="BQ91" i="8" s="1"/>
  <c r="BR91" i="8" s="1"/>
  <c r="BS91" i="8" s="1"/>
  <c r="BG93" i="8"/>
  <c r="BL93" i="8" s="1"/>
  <c r="BO93" i="8"/>
  <c r="BQ93" i="8" s="1"/>
  <c r="BR93" i="8" s="1"/>
  <c r="BS93" i="8" s="1"/>
  <c r="BG95" i="8"/>
  <c r="BL95" i="8" s="1"/>
  <c r="BO95" i="8"/>
  <c r="BQ95" i="8" s="1"/>
  <c r="BR95" i="8" s="1"/>
  <c r="BS95" i="8" s="1"/>
  <c r="BG97" i="8"/>
  <c r="BL97" i="8" s="1"/>
  <c r="BO97" i="8"/>
  <c r="BQ97" i="8" s="1"/>
  <c r="BR97" i="8" s="1"/>
  <c r="BS97" i="8" s="1"/>
  <c r="BX91" i="8"/>
  <c r="BT91" i="8"/>
  <c r="BZ91" i="8"/>
  <c r="BX93" i="8"/>
  <c r="BT93" i="8"/>
  <c r="BZ93" i="8"/>
  <c r="BX95" i="8"/>
  <c r="BT95" i="8"/>
  <c r="BZ95" i="8"/>
  <c r="BX97" i="8"/>
  <c r="BT97" i="8"/>
  <c r="BZ97" i="8"/>
  <c r="AJ89" i="8"/>
  <c r="AO89" i="8" s="1"/>
  <c r="AP89" i="8" s="1"/>
  <c r="AJ91" i="8"/>
  <c r="AO91" i="8" s="1"/>
  <c r="AP91" i="8" s="1"/>
  <c r="AJ93" i="8"/>
  <c r="AO93" i="8" s="1"/>
  <c r="AP93" i="8" s="1"/>
  <c r="AJ95" i="8"/>
  <c r="AO95" i="8" s="1"/>
  <c r="AP95" i="8" s="1"/>
  <c r="AJ97" i="8"/>
  <c r="AO97" i="8" s="1"/>
  <c r="AP97" i="8" s="1"/>
  <c r="BW46" i="8"/>
  <c r="BA46" i="8"/>
  <c r="AZ46" i="8"/>
  <c r="BY46" i="8"/>
  <c r="BB46" i="8"/>
  <c r="BY48" i="8"/>
  <c r="BW48" i="8"/>
  <c r="BA48" i="8"/>
  <c r="AZ48" i="8"/>
  <c r="BB48" i="8"/>
  <c r="BE46" i="8"/>
  <c r="BJ46" i="8" s="1"/>
  <c r="BK46" i="8" s="1"/>
  <c r="AT46" i="8"/>
  <c r="AW46" i="8" s="1"/>
  <c r="AX46" i="8" s="1"/>
  <c r="AY46" i="8" s="1"/>
  <c r="BG46" i="8"/>
  <c r="BL46" i="8" s="1"/>
  <c r="AT47" i="8"/>
  <c r="AW47" i="8" s="1"/>
  <c r="AX47" i="8" s="1"/>
  <c r="AY47" i="8" s="1"/>
  <c r="AL48" i="8"/>
  <c r="AQ48" i="8" s="1"/>
  <c r="BG48" i="8"/>
  <c r="BL48" i="8" s="1"/>
  <c r="AL50" i="8"/>
  <c r="AQ50" i="8" s="1"/>
  <c r="AJ50" i="8"/>
  <c r="AO50" i="8" s="1"/>
  <c r="AP50" i="8" s="1"/>
  <c r="BE50" i="8"/>
  <c r="BJ50" i="8" s="1"/>
  <c r="BK50" i="8" s="1"/>
  <c r="BG52" i="8"/>
  <c r="BL52" i="8" s="1"/>
  <c r="BU54" i="8"/>
  <c r="BG56" i="8"/>
  <c r="BL56" i="8" s="1"/>
  <c r="BO56" i="8"/>
  <c r="BQ56" i="8" s="1"/>
  <c r="BR56" i="8" s="1"/>
  <c r="BS56" i="8" s="1"/>
  <c r="BE56" i="8"/>
  <c r="BJ56" i="8" s="1"/>
  <c r="BK56" i="8" s="1"/>
  <c r="BG57" i="8"/>
  <c r="BL57" i="8" s="1"/>
  <c r="BO57" i="8"/>
  <c r="BQ57" i="8" s="1"/>
  <c r="BR57" i="8" s="1"/>
  <c r="BS57" i="8" s="1"/>
  <c r="AT61" i="8"/>
  <c r="AW61" i="8" s="1"/>
  <c r="AX61" i="8" s="1"/>
  <c r="AY61" i="8" s="1"/>
  <c r="AJ61" i="8"/>
  <c r="AO61" i="8" s="1"/>
  <c r="AP61" i="8" s="1"/>
  <c r="AL61" i="8"/>
  <c r="AQ61" i="8" s="1"/>
  <c r="AL46" i="8"/>
  <c r="AQ46" i="8" s="1"/>
  <c r="AJ47" i="8"/>
  <c r="AO47" i="8" s="1"/>
  <c r="AP47" i="8" s="1"/>
  <c r="BE47" i="8"/>
  <c r="BJ47" i="8" s="1"/>
  <c r="BK47" i="8" s="1"/>
  <c r="BO47" i="8"/>
  <c r="BQ47" i="8" s="1"/>
  <c r="BR47" i="8" s="1"/>
  <c r="BS47" i="8" s="1"/>
  <c r="AJ49" i="8"/>
  <c r="AO49" i="8" s="1"/>
  <c r="AP49" i="8" s="1"/>
  <c r="AL49" i="8"/>
  <c r="AQ49" i="8" s="1"/>
  <c r="BE49" i="8"/>
  <c r="BJ49" i="8" s="1"/>
  <c r="BK49" i="8" s="1"/>
  <c r="AT50" i="8"/>
  <c r="AW50" i="8" s="1"/>
  <c r="AX50" i="8" s="1"/>
  <c r="AY50" i="8" s="1"/>
  <c r="BG51" i="8"/>
  <c r="BL51" i="8" s="1"/>
  <c r="BO53" i="8"/>
  <c r="BQ53" i="8" s="1"/>
  <c r="BR53" i="8" s="1"/>
  <c r="BS53" i="8" s="1"/>
  <c r="BG53" i="8"/>
  <c r="BL53" i="8" s="1"/>
  <c r="BE53" i="8"/>
  <c r="BJ53" i="8" s="1"/>
  <c r="BK53" i="8" s="1"/>
  <c r="AT58" i="8"/>
  <c r="AW58" i="8" s="1"/>
  <c r="AX58" i="8" s="1"/>
  <c r="AY58" i="8" s="1"/>
  <c r="AL58" i="8"/>
  <c r="AQ58" i="8" s="1"/>
  <c r="AJ58" i="8"/>
  <c r="AO58" i="8" s="1"/>
  <c r="AP58" i="8" s="1"/>
  <c r="BB60" i="8"/>
  <c r="AZ60" i="8"/>
  <c r="BW60" i="8"/>
  <c r="BA60" i="8"/>
  <c r="AJ63" i="8"/>
  <c r="AO63" i="8" s="1"/>
  <c r="AP63" i="8" s="1"/>
  <c r="AT63" i="8"/>
  <c r="AW63" i="8" s="1"/>
  <c r="AX63" i="8" s="1"/>
  <c r="AY63" i="8" s="1"/>
  <c r="AL63" i="8"/>
  <c r="AQ63" i="8" s="1"/>
  <c r="BW65" i="8"/>
  <c r="BE48" i="8"/>
  <c r="BJ48" i="8" s="1"/>
  <c r="BK48" i="8" s="1"/>
  <c r="BG50" i="8"/>
  <c r="BL50" i="8" s="1"/>
  <c r="AL52" i="8"/>
  <c r="AQ52" i="8" s="1"/>
  <c r="AJ52" i="8"/>
  <c r="AO52" i="8" s="1"/>
  <c r="AP52" i="8" s="1"/>
  <c r="BW55" i="8"/>
  <c r="BA55" i="8"/>
  <c r="AZ55" i="8"/>
  <c r="BY55" i="8"/>
  <c r="AL56" i="8"/>
  <c r="AQ56" i="8" s="1"/>
  <c r="AJ56" i="8"/>
  <c r="AO56" i="8" s="1"/>
  <c r="AP56" i="8" s="1"/>
  <c r="AT56" i="8"/>
  <c r="AW56" i="8" s="1"/>
  <c r="AX56" i="8" s="1"/>
  <c r="AY56" i="8" s="1"/>
  <c r="AT57" i="8"/>
  <c r="AW57" i="8" s="1"/>
  <c r="AX57" i="8" s="1"/>
  <c r="AY57" i="8" s="1"/>
  <c r="AJ57" i="8"/>
  <c r="AO57" i="8" s="1"/>
  <c r="AP57" i="8" s="1"/>
  <c r="AL57" i="8"/>
  <c r="AQ57" i="8" s="1"/>
  <c r="BZ61" i="8"/>
  <c r="BV61" i="8"/>
  <c r="BX61" i="8"/>
  <c r="BU61" i="8"/>
  <c r="BT61" i="8"/>
  <c r="BY64" i="8"/>
  <c r="BB64" i="8"/>
  <c r="AT48" i="8"/>
  <c r="AW48" i="8" s="1"/>
  <c r="AX48" i="8" s="1"/>
  <c r="AY48" i="8" s="1"/>
  <c r="BG49" i="8"/>
  <c r="BL49" i="8" s="1"/>
  <c r="AJ51" i="8"/>
  <c r="AO51" i="8" s="1"/>
  <c r="AP51" i="8" s="1"/>
  <c r="AL51" i="8"/>
  <c r="AQ51" i="8" s="1"/>
  <c r="BZ51" i="8"/>
  <c r="AT52" i="8"/>
  <c r="AW52" i="8" s="1"/>
  <c r="AX52" i="8" s="1"/>
  <c r="AY52" i="8" s="1"/>
  <c r="AJ53" i="8"/>
  <c r="AO53" i="8" s="1"/>
  <c r="AP53" i="8" s="1"/>
  <c r="AT53" i="8"/>
  <c r="AW53" i="8" s="1"/>
  <c r="AX53" i="8" s="1"/>
  <c r="AY53" i="8" s="1"/>
  <c r="AL53" i="8"/>
  <c r="AQ53" i="8" s="1"/>
  <c r="BZ55" i="8"/>
  <c r="BE57" i="8"/>
  <c r="BJ57" i="8" s="1"/>
  <c r="BK57" i="8" s="1"/>
  <c r="AL59" i="8"/>
  <c r="AQ59" i="8" s="1"/>
  <c r="AT59" i="8"/>
  <c r="AW59" i="8" s="1"/>
  <c r="AX59" i="8" s="1"/>
  <c r="AY59" i="8" s="1"/>
  <c r="AJ59" i="8"/>
  <c r="AO59" i="8" s="1"/>
  <c r="AP59" i="8" s="1"/>
  <c r="AJ67" i="8"/>
  <c r="AO67" i="8" s="1"/>
  <c r="AP67" i="8" s="1"/>
  <c r="AT67" i="8"/>
  <c r="AW67" i="8" s="1"/>
  <c r="AX67" i="8" s="1"/>
  <c r="AY67" i="8" s="1"/>
  <c r="AL67" i="8"/>
  <c r="AQ67" i="8" s="1"/>
  <c r="BZ59" i="8"/>
  <c r="BV59" i="8"/>
  <c r="BU59" i="8"/>
  <c r="BZ63" i="8"/>
  <c r="BV63" i="8"/>
  <c r="BT63" i="8"/>
  <c r="AL55" i="8"/>
  <c r="AQ55" i="8" s="1"/>
  <c r="BG62" i="8"/>
  <c r="BL62" i="8" s="1"/>
  <c r="BE62" i="8"/>
  <c r="BJ62" i="8" s="1"/>
  <c r="BK62" i="8" s="1"/>
  <c r="BG66" i="8"/>
  <c r="BL66" i="8" s="1"/>
  <c r="BE66" i="8"/>
  <c r="BJ66" i="8" s="1"/>
  <c r="BK66" i="8" s="1"/>
  <c r="CI58" i="8"/>
  <c r="BO58" i="8"/>
  <c r="BQ58" i="8" s="1"/>
  <c r="BR58" i="8" s="1"/>
  <c r="BS58" i="8" s="1"/>
  <c r="BE60" i="8"/>
  <c r="BJ60" i="8" s="1"/>
  <c r="BK60" i="8" s="1"/>
  <c r="CI62" i="8"/>
  <c r="AL65" i="8"/>
  <c r="AQ65" i="8" s="1"/>
  <c r="BY66" i="8"/>
  <c r="CI66" i="8"/>
  <c r="BW66" i="8"/>
  <c r="BE58" i="8"/>
  <c r="BJ58" i="8" s="1"/>
  <c r="BK58" i="8" s="1"/>
  <c r="BO64" i="8"/>
  <c r="BQ64" i="8" s="1"/>
  <c r="BR64" i="8" s="1"/>
  <c r="BS64" i="8" s="1"/>
  <c r="N38" i="8"/>
  <c r="I38" i="8"/>
  <c r="BO74" i="8" l="1"/>
  <c r="BQ74" i="8" s="1"/>
  <c r="BR74" i="8" s="1"/>
  <c r="BS74" i="8" s="1"/>
  <c r="CA74" i="8" s="1"/>
  <c r="BE74" i="8"/>
  <c r="BJ74" i="8" s="1"/>
  <c r="BK74" i="8" s="1"/>
  <c r="BX74" i="8" s="1"/>
  <c r="BE133" i="8"/>
  <c r="BJ133" i="8" s="1"/>
  <c r="BK133" i="8" s="1"/>
  <c r="BU133" i="8" s="1"/>
  <c r="BG103" i="8"/>
  <c r="BL103" i="8" s="1"/>
  <c r="BT169" i="8"/>
  <c r="AZ201" i="8"/>
  <c r="BA307" i="8"/>
  <c r="BV303" i="8"/>
  <c r="CC62" i="8"/>
  <c r="BW82" i="8"/>
  <c r="BV113" i="8"/>
  <c r="BY186" i="8"/>
  <c r="AZ210" i="8"/>
  <c r="BU198" i="8"/>
  <c r="BX288" i="8"/>
  <c r="BW64" i="8"/>
  <c r="BT145" i="8"/>
  <c r="CD145" i="8" s="1"/>
  <c r="BB186" i="8"/>
  <c r="BB210" i="8"/>
  <c r="BZ234" i="8"/>
  <c r="BU288" i="8"/>
  <c r="BA64" i="8"/>
  <c r="BZ52" i="8"/>
  <c r="BU80" i="8"/>
  <c r="BW107" i="8"/>
  <c r="AZ186" i="8"/>
  <c r="BY178" i="8"/>
  <c r="AZ184" i="8"/>
  <c r="BV288" i="8"/>
  <c r="BG224" i="8"/>
  <c r="BL224" i="8" s="1"/>
  <c r="BO134" i="8"/>
  <c r="BQ134" i="8" s="1"/>
  <c r="BR134" i="8" s="1"/>
  <c r="BS134" i="8" s="1"/>
  <c r="CA134" i="8" s="1"/>
  <c r="CI134" i="8" s="1"/>
  <c r="BG104" i="8"/>
  <c r="BL104" i="8" s="1"/>
  <c r="BO105" i="8"/>
  <c r="BQ105" i="8" s="1"/>
  <c r="BR105" i="8" s="1"/>
  <c r="BS105" i="8" s="1"/>
  <c r="CA105" i="8" s="1"/>
  <c r="CI105" i="8" s="1"/>
  <c r="BO43" i="8"/>
  <c r="BQ43" i="8" s="1"/>
  <c r="BR43" i="8" s="1"/>
  <c r="BS43" i="8" s="1"/>
  <c r="CA43" i="8" s="1"/>
  <c r="AT44" i="8"/>
  <c r="AW44" i="8" s="1"/>
  <c r="AX44" i="8" s="1"/>
  <c r="AY44" i="8" s="1"/>
  <c r="BB44" i="8" s="1"/>
  <c r="BT80" i="8"/>
  <c r="AZ82" i="8"/>
  <c r="BT113" i="8"/>
  <c r="BV111" i="8"/>
  <c r="AZ116" i="8"/>
  <c r="BV213" i="8"/>
  <c r="BY210" i="8"/>
  <c r="CC287" i="8"/>
  <c r="CC300" i="8"/>
  <c r="AZ305" i="8"/>
  <c r="BV266" i="8"/>
  <c r="BV52" i="8"/>
  <c r="BX52" i="8"/>
  <c r="BG105" i="8"/>
  <c r="BL105" i="8" s="1"/>
  <c r="BG133" i="8"/>
  <c r="BL133" i="8" s="1"/>
  <c r="BB307" i="8"/>
  <c r="BZ303" i="8"/>
  <c r="BZ295" i="8"/>
  <c r="BO224" i="8"/>
  <c r="BQ224" i="8" s="1"/>
  <c r="BR224" i="8" s="1"/>
  <c r="BS224" i="8" s="1"/>
  <c r="CA224" i="8" s="1"/>
  <c r="BX177" i="8"/>
  <c r="BT55" i="8"/>
  <c r="CD55" i="8" s="1"/>
  <c r="BY62" i="8"/>
  <c r="BT52" i="8"/>
  <c r="BE104" i="8"/>
  <c r="BJ104" i="8" s="1"/>
  <c r="BK104" i="8" s="1"/>
  <c r="BZ104" i="8" s="1"/>
  <c r="BU177" i="8"/>
  <c r="CE177" i="8" s="1"/>
  <c r="BT204" i="8"/>
  <c r="BU304" i="8"/>
  <c r="BV295" i="8"/>
  <c r="BB288" i="8"/>
  <c r="AJ223" i="8"/>
  <c r="AO223" i="8" s="1"/>
  <c r="AP223" i="8" s="1"/>
  <c r="BY223" i="8" s="1"/>
  <c r="BX55" i="8"/>
  <c r="BV55" i="8"/>
  <c r="AL44" i="8"/>
  <c r="AQ44" i="8" s="1"/>
  <c r="AZ107" i="8"/>
  <c r="BB187" i="8"/>
  <c r="BZ177" i="8"/>
  <c r="BV169" i="8"/>
  <c r="BW210" i="8"/>
  <c r="BX204" i="8"/>
  <c r="BB273" i="8"/>
  <c r="CC289" i="8"/>
  <c r="BW288" i="8"/>
  <c r="BE253" i="8"/>
  <c r="BJ253" i="8" s="1"/>
  <c r="BK253" i="8" s="1"/>
  <c r="BX253" i="8" s="1"/>
  <c r="BG253" i="8"/>
  <c r="BL253" i="8" s="1"/>
  <c r="AL105" i="8"/>
  <c r="AQ105" i="8" s="1"/>
  <c r="BE44" i="8"/>
  <c r="BJ44" i="8" s="1"/>
  <c r="BK44" i="8" s="1"/>
  <c r="BT44" i="8" s="1"/>
  <c r="AJ105" i="8"/>
  <c r="AO105" i="8" s="1"/>
  <c r="AP105" i="8" s="1"/>
  <c r="BA105" i="8" s="1"/>
  <c r="BG44" i="8"/>
  <c r="BL44" i="8" s="1"/>
  <c r="BE43" i="8"/>
  <c r="BJ43" i="8" s="1"/>
  <c r="BK43" i="8" s="1"/>
  <c r="BU43" i="8" s="1"/>
  <c r="AJ75" i="8"/>
  <c r="AO75" i="8" s="1"/>
  <c r="AP75" i="8" s="1"/>
  <c r="BW75" i="8" s="1"/>
  <c r="BU73" i="8"/>
  <c r="BZ73" i="8"/>
  <c r="BG73" i="8"/>
  <c r="BL73" i="8" s="1"/>
  <c r="AJ135" i="8"/>
  <c r="AO135" i="8" s="1"/>
  <c r="AP135" i="8" s="1"/>
  <c r="BW135" i="8" s="1"/>
  <c r="BO163" i="8"/>
  <c r="BQ163" i="8" s="1"/>
  <c r="BR163" i="8" s="1"/>
  <c r="BS163" i="8" s="1"/>
  <c r="CA163" i="8" s="1"/>
  <c r="AJ165" i="8"/>
  <c r="AO165" i="8" s="1"/>
  <c r="AP165" i="8" s="1"/>
  <c r="BY165" i="8" s="1"/>
  <c r="BG193" i="8"/>
  <c r="BL193" i="8" s="1"/>
  <c r="AL224" i="8"/>
  <c r="AQ224" i="8" s="1"/>
  <c r="AL223" i="8"/>
  <c r="AQ223" i="8" s="1"/>
  <c r="AL253" i="8"/>
  <c r="AQ253" i="8" s="1"/>
  <c r="CC253" i="8" s="1"/>
  <c r="AL255" i="8"/>
  <c r="AQ255" i="8" s="1"/>
  <c r="BE254" i="8"/>
  <c r="BJ254" i="8" s="1"/>
  <c r="BK254" i="8" s="1"/>
  <c r="BZ254" i="8" s="1"/>
  <c r="BG255" i="8"/>
  <c r="BL255" i="8" s="1"/>
  <c r="AT255" i="8"/>
  <c r="AW255" i="8" s="1"/>
  <c r="AX255" i="8" s="1"/>
  <c r="AY255" i="8" s="1"/>
  <c r="BC255" i="8" s="1"/>
  <c r="BG254" i="8"/>
  <c r="BL254" i="8" s="1"/>
  <c r="CC254" i="8" s="1"/>
  <c r="BZ283" i="8"/>
  <c r="AJ283" i="8"/>
  <c r="AO283" i="8" s="1"/>
  <c r="AP283" i="8" s="1"/>
  <c r="BY283" i="8" s="1"/>
  <c r="BO284" i="8"/>
  <c r="BQ284" i="8" s="1"/>
  <c r="BR284" i="8" s="1"/>
  <c r="BS284" i="8" s="1"/>
  <c r="CA284" i="8" s="1"/>
  <c r="CI284" i="8" s="1"/>
  <c r="BE284" i="8"/>
  <c r="BJ284" i="8" s="1"/>
  <c r="BK284" i="8" s="1"/>
  <c r="BZ284" i="8" s="1"/>
  <c r="AZ286" i="8"/>
  <c r="BB286" i="8"/>
  <c r="AJ285" i="8"/>
  <c r="AO285" i="8" s="1"/>
  <c r="AP285" i="8" s="1"/>
  <c r="BY285" i="8" s="1"/>
  <c r="BO255" i="8"/>
  <c r="BQ255" i="8" s="1"/>
  <c r="BR255" i="8" s="1"/>
  <c r="BS255" i="8" s="1"/>
  <c r="CA255" i="8" s="1"/>
  <c r="AJ253" i="8"/>
  <c r="AO253" i="8" s="1"/>
  <c r="AP253" i="8" s="1"/>
  <c r="AZ253" i="8" s="1"/>
  <c r="BE225" i="8"/>
  <c r="BJ225" i="8" s="1"/>
  <c r="BK225" i="8" s="1"/>
  <c r="BT225" i="8" s="1"/>
  <c r="AT195" i="8"/>
  <c r="AW195" i="8" s="1"/>
  <c r="AX195" i="8" s="1"/>
  <c r="AY195" i="8" s="1"/>
  <c r="BA195" i="8" s="1"/>
  <c r="BE194" i="8"/>
  <c r="BJ194" i="8" s="1"/>
  <c r="BK194" i="8" s="1"/>
  <c r="BU194" i="8" s="1"/>
  <c r="BO193" i="8"/>
  <c r="BQ193" i="8" s="1"/>
  <c r="BR193" i="8" s="1"/>
  <c r="BS193" i="8" s="1"/>
  <c r="CA193" i="8" s="1"/>
  <c r="BX163" i="8"/>
  <c r="BZ163" i="8"/>
  <c r="BU163" i="8"/>
  <c r="AT164" i="8"/>
  <c r="AW164" i="8" s="1"/>
  <c r="AX164" i="8" s="1"/>
  <c r="AY164" i="8" s="1"/>
  <c r="BC164" i="8" s="1"/>
  <c r="BE165" i="8"/>
  <c r="BJ165" i="8" s="1"/>
  <c r="BK165" i="8" s="1"/>
  <c r="BT165" i="8" s="1"/>
  <c r="BO73" i="8"/>
  <c r="BQ73" i="8" s="1"/>
  <c r="BR73" i="8" s="1"/>
  <c r="BS73" i="8" s="1"/>
  <c r="CA73" i="8" s="1"/>
  <c r="BX73" i="8"/>
  <c r="BV86" i="8"/>
  <c r="AZ300" i="8"/>
  <c r="BU64" i="8"/>
  <c r="BY300" i="8"/>
  <c r="BW79" i="8"/>
  <c r="AZ124" i="8"/>
  <c r="CD124" i="8" s="1"/>
  <c r="BZ113" i="8"/>
  <c r="BU106" i="8"/>
  <c r="AZ153" i="8"/>
  <c r="CD153" i="8" s="1"/>
  <c r="BW149" i="8"/>
  <c r="BY174" i="8"/>
  <c r="BU211" i="8"/>
  <c r="BT228" i="8"/>
  <c r="BU237" i="8"/>
  <c r="CE237" i="8" s="1"/>
  <c r="BZ262" i="8"/>
  <c r="BA300" i="8"/>
  <c r="BT304" i="8"/>
  <c r="BG285" i="8"/>
  <c r="BL285" i="8" s="1"/>
  <c r="BT106" i="8"/>
  <c r="BX262" i="8"/>
  <c r="BA79" i="8"/>
  <c r="BX106" i="8"/>
  <c r="AJ134" i="8"/>
  <c r="AO134" i="8" s="1"/>
  <c r="AP134" i="8" s="1"/>
  <c r="BA134" i="8" s="1"/>
  <c r="AZ174" i="8"/>
  <c r="CD174" i="8" s="1"/>
  <c r="BX217" i="8"/>
  <c r="BZ211" i="8"/>
  <c r="BU204" i="8"/>
  <c r="CE204" i="8" s="1"/>
  <c r="BV228" i="8"/>
  <c r="BX237" i="8"/>
  <c r="BT262" i="8"/>
  <c r="BW300" i="8"/>
  <c r="BX304" i="8"/>
  <c r="BO285" i="8"/>
  <c r="BQ285" i="8" s="1"/>
  <c r="BR285" i="8" s="1"/>
  <c r="BS285" i="8" s="1"/>
  <c r="CA285" i="8" s="1"/>
  <c r="CI285" i="8" s="1"/>
  <c r="CC277" i="8"/>
  <c r="CC107" i="8"/>
  <c r="AZ79" i="8"/>
  <c r="BV106" i="8"/>
  <c r="CE112" i="8"/>
  <c r="AL133" i="8"/>
  <c r="AQ133" i="8" s="1"/>
  <c r="BY187" i="8"/>
  <c r="BG165" i="8"/>
  <c r="BL165" i="8" s="1"/>
  <c r="BU170" i="8"/>
  <c r="BT163" i="8"/>
  <c r="AZ205" i="8"/>
  <c r="CD205" i="8" s="1"/>
  <c r="BV204" i="8"/>
  <c r="BU193" i="8"/>
  <c r="BW206" i="8"/>
  <c r="BV237" i="8"/>
  <c r="BV304" i="8"/>
  <c r="CC291" i="8"/>
  <c r="AJ193" i="8"/>
  <c r="AO193" i="8" s="1"/>
  <c r="AP193" i="8" s="1"/>
  <c r="BY193" i="8" s="1"/>
  <c r="AJ225" i="8"/>
  <c r="AO225" i="8" s="1"/>
  <c r="AP225" i="8" s="1"/>
  <c r="BW225" i="8" s="1"/>
  <c r="AJ284" i="8"/>
  <c r="AO284" i="8" s="1"/>
  <c r="AP284" i="8" s="1"/>
  <c r="BY284" i="8" s="1"/>
  <c r="BA62" i="8"/>
  <c r="BW62" i="8"/>
  <c r="BB62" i="8"/>
  <c r="BZ108" i="8"/>
  <c r="AJ133" i="8"/>
  <c r="AO133" i="8" s="1"/>
  <c r="AP133" i="8" s="1"/>
  <c r="BA133" i="8" s="1"/>
  <c r="BW187" i="8"/>
  <c r="BG163" i="8"/>
  <c r="BL163" i="8" s="1"/>
  <c r="BZ193" i="8"/>
  <c r="AZ227" i="8"/>
  <c r="AT225" i="8"/>
  <c r="AW225" i="8" s="1"/>
  <c r="AX225" i="8" s="1"/>
  <c r="AY225" i="8" s="1"/>
  <c r="BC225" i="8" s="1"/>
  <c r="AL284" i="8"/>
  <c r="AQ284" i="8" s="1"/>
  <c r="CC121" i="8"/>
  <c r="BY76" i="8"/>
  <c r="AT135" i="8"/>
  <c r="AW135" i="8" s="1"/>
  <c r="AX135" i="8" s="1"/>
  <c r="AY135" i="8" s="1"/>
  <c r="BC135" i="8" s="1"/>
  <c r="BZ152" i="8"/>
  <c r="BA183" i="8"/>
  <c r="CD215" i="8"/>
  <c r="BT266" i="8"/>
  <c r="BY304" i="8"/>
  <c r="AT75" i="8"/>
  <c r="AW75" i="8" s="1"/>
  <c r="AX75" i="8" s="1"/>
  <c r="AY75" i="8" s="1"/>
  <c r="BC75" i="8" s="1"/>
  <c r="CI75" i="8" s="1"/>
  <c r="CC64" i="8"/>
  <c r="BB66" i="8"/>
  <c r="BZ64" i="8"/>
  <c r="BZ65" i="8"/>
  <c r="BT64" i="8"/>
  <c r="CD64" i="8" s="1"/>
  <c r="BY79" i="8"/>
  <c r="CC84" i="8"/>
  <c r="BT120" i="8"/>
  <c r="CD120" i="8" s="1"/>
  <c r="BV126" i="8"/>
  <c r="CC110" i="8"/>
  <c r="AL104" i="8"/>
  <c r="AQ104" i="8" s="1"/>
  <c r="AZ149" i="8"/>
  <c r="CD149" i="8" s="1"/>
  <c r="BX152" i="8"/>
  <c r="BA150" i="8"/>
  <c r="CE150" i="8" s="1"/>
  <c r="BZ145" i="8"/>
  <c r="BU141" i="8"/>
  <c r="CE141" i="8" s="1"/>
  <c r="CC184" i="8"/>
  <c r="AZ185" i="8"/>
  <c r="BW174" i="8"/>
  <c r="AZ213" i="8"/>
  <c r="BZ212" i="8"/>
  <c r="BW209" i="8"/>
  <c r="BX198" i="8"/>
  <c r="BZ198" i="8"/>
  <c r="BX193" i="8"/>
  <c r="BZ237" i="8"/>
  <c r="BU303" i="8"/>
  <c r="BX303" i="8"/>
  <c r="BE75" i="8"/>
  <c r="BJ75" i="8" s="1"/>
  <c r="BK75" i="8" s="1"/>
  <c r="BT75" i="8" s="1"/>
  <c r="AT163" i="8"/>
  <c r="AW163" i="8" s="1"/>
  <c r="AX163" i="8" s="1"/>
  <c r="AY163" i="8" s="1"/>
  <c r="BC163" i="8" s="1"/>
  <c r="BO195" i="8"/>
  <c r="BQ195" i="8" s="1"/>
  <c r="BR195" i="8" s="1"/>
  <c r="BS195" i="8" s="1"/>
  <c r="CA195" i="8" s="1"/>
  <c r="AL195" i="8"/>
  <c r="AQ195" i="8" s="1"/>
  <c r="AL285" i="8"/>
  <c r="AQ285" i="8" s="1"/>
  <c r="CI133" i="8"/>
  <c r="CI253" i="8"/>
  <c r="BU209" i="8"/>
  <c r="CE209" i="8" s="1"/>
  <c r="CC60" i="8"/>
  <c r="BT65" i="8"/>
  <c r="AT104" i="8"/>
  <c r="AW104" i="8" s="1"/>
  <c r="AX104" i="8" s="1"/>
  <c r="AY104" i="8" s="1"/>
  <c r="BC104" i="8" s="1"/>
  <c r="CI104" i="8" s="1"/>
  <c r="BZ105" i="8"/>
  <c r="BZ209" i="8"/>
  <c r="AT193" i="8"/>
  <c r="AW193" i="8" s="1"/>
  <c r="AX193" i="8" s="1"/>
  <c r="AY193" i="8" s="1"/>
  <c r="BC193" i="8" s="1"/>
  <c r="CC203" i="8"/>
  <c r="BU65" i="8"/>
  <c r="BY54" i="8"/>
  <c r="BU120" i="8"/>
  <c r="CE120" i="8" s="1"/>
  <c r="BT126" i="8"/>
  <c r="CD126" i="8" s="1"/>
  <c r="BX105" i="8"/>
  <c r="BB150" i="8"/>
  <c r="BB182" i="8"/>
  <c r="BB174" i="8"/>
  <c r="AZ183" i="8"/>
  <c r="BV212" i="8"/>
  <c r="BZ196" i="8"/>
  <c r="BZ228" i="8"/>
  <c r="BX224" i="8"/>
  <c r="BB270" i="8"/>
  <c r="BU266" i="8"/>
  <c r="BU260" i="8"/>
  <c r="CE260" i="8" s="1"/>
  <c r="CI254" i="8"/>
  <c r="CC176" i="8"/>
  <c r="CC270" i="8"/>
  <c r="CC127" i="8"/>
  <c r="BA66" i="8"/>
  <c r="CC109" i="8"/>
  <c r="AT43" i="8"/>
  <c r="AW43" i="8" s="1"/>
  <c r="AX43" i="8" s="1"/>
  <c r="AY43" i="8" s="1"/>
  <c r="BC43" i="8" s="1"/>
  <c r="AJ45" i="8"/>
  <c r="AO45" i="8" s="1"/>
  <c r="AP45" i="8" s="1"/>
  <c r="BW45" i="8" s="1"/>
  <c r="BX64" i="8"/>
  <c r="AT45" i="8"/>
  <c r="AW45" i="8" s="1"/>
  <c r="AX45" i="8" s="1"/>
  <c r="AY45" i="8" s="1"/>
  <c r="BC45" i="8" s="1"/>
  <c r="CI45" i="8" s="1"/>
  <c r="BA77" i="8"/>
  <c r="CE77" i="8" s="1"/>
  <c r="BZ77" i="8"/>
  <c r="BW122" i="8"/>
  <c r="BT108" i="8"/>
  <c r="BX126" i="8"/>
  <c r="AL103" i="8"/>
  <c r="AQ103" i="8" s="1"/>
  <c r="BE103" i="8"/>
  <c r="BJ103" i="8" s="1"/>
  <c r="BK103" i="8" s="1"/>
  <c r="BT103" i="8" s="1"/>
  <c r="BX111" i="8"/>
  <c r="BY107" i="8"/>
  <c r="BB107" i="8"/>
  <c r="BB149" i="8"/>
  <c r="BA142" i="8"/>
  <c r="AL134" i="8"/>
  <c r="AQ134" i="8" s="1"/>
  <c r="BV152" i="8"/>
  <c r="AZ187" i="8"/>
  <c r="BY183" i="8"/>
  <c r="BB183" i="8"/>
  <c r="BZ170" i="8"/>
  <c r="BA215" i="8"/>
  <c r="BY215" i="8"/>
  <c r="BT213" i="8"/>
  <c r="CD213" i="8" s="1"/>
  <c r="BV209" i="8"/>
  <c r="BE195" i="8"/>
  <c r="BJ195" i="8" s="1"/>
  <c r="BK195" i="8" s="1"/>
  <c r="BZ195" i="8" s="1"/>
  <c r="BZ242" i="8"/>
  <c r="BT224" i="8"/>
  <c r="BY273" i="8"/>
  <c r="BT265" i="8"/>
  <c r="BA291" i="8"/>
  <c r="BZ288" i="8"/>
  <c r="BX285" i="8"/>
  <c r="BW287" i="8"/>
  <c r="AT73" i="8"/>
  <c r="AW73" i="8" s="1"/>
  <c r="AX73" i="8" s="1"/>
  <c r="AY73" i="8" s="1"/>
  <c r="BC73" i="8" s="1"/>
  <c r="AL165" i="8"/>
  <c r="AQ165" i="8" s="1"/>
  <c r="BO225" i="8"/>
  <c r="BQ225" i="8" s="1"/>
  <c r="BR225" i="8" s="1"/>
  <c r="BS225" i="8" s="1"/>
  <c r="CA225" i="8" s="1"/>
  <c r="AL283" i="8"/>
  <c r="AQ283" i="8" s="1"/>
  <c r="CC301" i="8"/>
  <c r="CC154" i="8"/>
  <c r="CC55" i="8"/>
  <c r="CC259" i="8"/>
  <c r="CC138" i="8"/>
  <c r="CC116" i="8"/>
  <c r="CC172" i="8"/>
  <c r="BG45" i="8"/>
  <c r="BL45" i="8" s="1"/>
  <c r="CC126" i="8"/>
  <c r="CC111" i="8"/>
  <c r="BU126" i="8"/>
  <c r="CE126" i="8" s="1"/>
  <c r="AT103" i="8"/>
  <c r="AW103" i="8" s="1"/>
  <c r="AX103" i="8" s="1"/>
  <c r="AY103" i="8" s="1"/>
  <c r="BA103" i="8" s="1"/>
  <c r="BU111" i="8"/>
  <c r="CE111" i="8" s="1"/>
  <c r="BA149" i="8"/>
  <c r="CE149" i="8" s="1"/>
  <c r="BV177" i="8"/>
  <c r="BB181" i="8"/>
  <c r="BV217" i="8"/>
  <c r="BB205" i="8"/>
  <c r="BA205" i="8"/>
  <c r="CE205" i="8" s="1"/>
  <c r="BT242" i="8"/>
  <c r="AZ233" i="8"/>
  <c r="CD233" i="8" s="1"/>
  <c r="AZ272" i="8"/>
  <c r="CD272" i="8" s="1"/>
  <c r="BZ259" i="8"/>
  <c r="BY302" i="8"/>
  <c r="CD301" i="8"/>
  <c r="BY288" i="8"/>
  <c r="BE134" i="8"/>
  <c r="BJ134" i="8" s="1"/>
  <c r="BK134" i="8" s="1"/>
  <c r="BT134" i="8" s="1"/>
  <c r="AJ163" i="8"/>
  <c r="AO163" i="8" s="1"/>
  <c r="AP163" i="8" s="1"/>
  <c r="BY163" i="8" s="1"/>
  <c r="AJ224" i="8"/>
  <c r="AO224" i="8" s="1"/>
  <c r="AP224" i="8" s="1"/>
  <c r="BY224" i="8" s="1"/>
  <c r="BO283" i="8"/>
  <c r="BQ283" i="8" s="1"/>
  <c r="BR283" i="8" s="1"/>
  <c r="BS283" i="8" s="1"/>
  <c r="CA283" i="8" s="1"/>
  <c r="CC115" i="8"/>
  <c r="CC77" i="8"/>
  <c r="AJ73" i="8"/>
  <c r="AO73" i="8" s="1"/>
  <c r="AP73" i="8" s="1"/>
  <c r="AJ74" i="8"/>
  <c r="AO74" i="8" s="1"/>
  <c r="AP74" i="8" s="1"/>
  <c r="BW74" i="8" s="1"/>
  <c r="AT74" i="8"/>
  <c r="AW74" i="8" s="1"/>
  <c r="AX74" i="8" s="1"/>
  <c r="AY74" i="8" s="1"/>
  <c r="BC74" i="8" s="1"/>
  <c r="CI74" i="8" s="1"/>
  <c r="BG75" i="8"/>
  <c r="BL75" i="8" s="1"/>
  <c r="BE45" i="8"/>
  <c r="BJ45" i="8" s="1"/>
  <c r="BK45" i="8" s="1"/>
  <c r="BZ45" i="8" s="1"/>
  <c r="BY44" i="8"/>
  <c r="AJ43" i="8"/>
  <c r="AO43" i="8" s="1"/>
  <c r="AP43" i="8" s="1"/>
  <c r="CC181" i="8"/>
  <c r="BW76" i="8"/>
  <c r="BY103" i="8"/>
  <c r="BB185" i="8"/>
  <c r="BB213" i="8"/>
  <c r="CC262" i="8"/>
  <c r="CC261" i="8"/>
  <c r="BZ260" i="8"/>
  <c r="BY291" i="8"/>
  <c r="CE206" i="8"/>
  <c r="CE114" i="8"/>
  <c r="CC108" i="8"/>
  <c r="BB54" i="8"/>
  <c r="BV90" i="8"/>
  <c r="BV78" i="8"/>
  <c r="AZ81" i="8"/>
  <c r="CC120" i="8"/>
  <c r="BA124" i="8"/>
  <c r="CE124" i="8" s="1"/>
  <c r="BA116" i="8"/>
  <c r="CE116" i="8" s="1"/>
  <c r="CC149" i="8"/>
  <c r="BA153" i="8"/>
  <c r="AZ142" i="8"/>
  <c r="CD141" i="8"/>
  <c r="CC186" i="8"/>
  <c r="BA185" i="8"/>
  <c r="CC169" i="8"/>
  <c r="BV170" i="8"/>
  <c r="BY214" i="8"/>
  <c r="BW213" i="8"/>
  <c r="BW208" i="8"/>
  <c r="BB196" i="8"/>
  <c r="BY200" i="8"/>
  <c r="BA227" i="8"/>
  <c r="BW275" i="8"/>
  <c r="BA273" i="8"/>
  <c r="CE273" i="8" s="1"/>
  <c r="BY275" i="8"/>
  <c r="BT269" i="8"/>
  <c r="BX260" i="8"/>
  <c r="BV260" i="8"/>
  <c r="BX259" i="8"/>
  <c r="CE307" i="8"/>
  <c r="BT295" i="8"/>
  <c r="BU295" i="8"/>
  <c r="CC257" i="8"/>
  <c r="CC215" i="8"/>
  <c r="CC124" i="8"/>
  <c r="CC167" i="8"/>
  <c r="CC185" i="8"/>
  <c r="CC82" i="8"/>
  <c r="CC125" i="8"/>
  <c r="CE212" i="8"/>
  <c r="CC65" i="8"/>
  <c r="CC213" i="8"/>
  <c r="CC119" i="8"/>
  <c r="CC78" i="8"/>
  <c r="CC50" i="8"/>
  <c r="AZ54" i="8"/>
  <c r="CC87" i="8"/>
  <c r="BU90" i="8"/>
  <c r="CE90" i="8" s="1"/>
  <c r="CC79" i="8"/>
  <c r="BY124" i="8"/>
  <c r="BY116" i="8"/>
  <c r="BB116" i="8"/>
  <c r="AZ182" i="8"/>
  <c r="CD182" i="8" s="1"/>
  <c r="CE174" i="8"/>
  <c r="BT170" i="8"/>
  <c r="BA214" i="8"/>
  <c r="CE214" i="8" s="1"/>
  <c r="BY213" i="8"/>
  <c r="CC233" i="8"/>
  <c r="CC276" i="8"/>
  <c r="BW273" i="8"/>
  <c r="BZ265" i="8"/>
  <c r="BV259" i="8"/>
  <c r="CC275" i="8"/>
  <c r="CC217" i="8"/>
  <c r="CC209" i="8"/>
  <c r="BA65" i="8"/>
  <c r="BT54" i="8"/>
  <c r="BX54" i="8"/>
  <c r="BW54" i="8"/>
  <c r="BZ90" i="8"/>
  <c r="BT88" i="8"/>
  <c r="CD88" i="8" s="1"/>
  <c r="BZ78" i="8"/>
  <c r="BB124" i="8"/>
  <c r="BW125" i="8"/>
  <c r="BB153" i="8"/>
  <c r="BY142" i="8"/>
  <c r="BY185" i="8"/>
  <c r="CC168" i="8"/>
  <c r="CC216" i="8"/>
  <c r="CE217" i="8"/>
  <c r="BB214" i="8"/>
  <c r="BW196" i="8"/>
  <c r="BY203" i="8"/>
  <c r="BB227" i="8"/>
  <c r="BW276" i="8"/>
  <c r="BA275" i="8"/>
  <c r="CC263" i="8"/>
  <c r="CE259" i="8"/>
  <c r="BT259" i="8"/>
  <c r="CD259" i="8" s="1"/>
  <c r="BB291" i="8"/>
  <c r="CC273" i="8"/>
  <c r="CC173" i="8"/>
  <c r="CC199" i="8"/>
  <c r="BX88" i="8"/>
  <c r="BZ86" i="8"/>
  <c r="AZ178" i="8"/>
  <c r="BW172" i="8"/>
  <c r="CC211" i="8"/>
  <c r="BT234" i="8"/>
  <c r="CD234" i="8" s="1"/>
  <c r="BV224" i="8"/>
  <c r="CO224" i="8" s="1"/>
  <c r="BZ269" i="8"/>
  <c r="CC288" i="8"/>
  <c r="AZ287" i="8"/>
  <c r="CD287" i="8" s="1"/>
  <c r="BY287" i="8"/>
  <c r="CC265" i="8"/>
  <c r="CC178" i="8"/>
  <c r="CC212" i="8"/>
  <c r="CC85" i="8"/>
  <c r="CC66" i="8"/>
  <c r="BX65" i="8"/>
  <c r="BU88" i="8"/>
  <c r="CE88" i="8" s="1"/>
  <c r="BU86" i="8"/>
  <c r="CE86" i="8" s="1"/>
  <c r="BY77" i="8"/>
  <c r="CC118" i="8"/>
  <c r="BB125" i="8"/>
  <c r="BU108" i="8"/>
  <c r="CE108" i="8" s="1"/>
  <c r="CD112" i="8"/>
  <c r="CC153" i="8"/>
  <c r="BV145" i="8"/>
  <c r="BU145" i="8"/>
  <c r="CE145" i="8" s="1"/>
  <c r="CC137" i="8"/>
  <c r="BZ138" i="8"/>
  <c r="BW184" i="8"/>
  <c r="CE173" i="8"/>
  <c r="BZ217" i="8"/>
  <c r="CC197" i="8"/>
  <c r="BY209" i="8"/>
  <c r="BW204" i="8"/>
  <c r="BY196" i="8"/>
  <c r="BB206" i="8"/>
  <c r="BB200" i="8"/>
  <c r="CC239" i="8"/>
  <c r="BV240" i="8"/>
  <c r="CC237" i="8"/>
  <c r="CC232" i="8"/>
  <c r="BU242" i="8"/>
  <c r="BV234" i="8"/>
  <c r="BW233" i="8"/>
  <c r="CD273" i="8"/>
  <c r="BA270" i="8"/>
  <c r="AZ270" i="8"/>
  <c r="BX266" i="8"/>
  <c r="BB304" i="8"/>
  <c r="BB302" i="8"/>
  <c r="CE301" i="8"/>
  <c r="CC286" i="8"/>
  <c r="BT285" i="8"/>
  <c r="AZ288" i="8"/>
  <c r="CD288" i="8" s="1"/>
  <c r="BA287" i="8"/>
  <c r="CE287" i="8" s="1"/>
  <c r="CC206" i="8"/>
  <c r="CC272" i="8"/>
  <c r="CC200" i="8"/>
  <c r="CE54" i="8"/>
  <c r="CC234" i="8"/>
  <c r="CC97" i="8"/>
  <c r="BX86" i="8"/>
  <c r="AZ125" i="8"/>
  <c r="AZ206" i="8"/>
  <c r="CD206" i="8" s="1"/>
  <c r="BA200" i="8"/>
  <c r="CE200" i="8" s="1"/>
  <c r="BU240" i="8"/>
  <c r="CE240" i="8" s="1"/>
  <c r="CC274" i="8"/>
  <c r="BW302" i="8"/>
  <c r="CC202" i="8"/>
  <c r="CC91" i="8"/>
  <c r="CC94" i="8"/>
  <c r="CC92" i="8"/>
  <c r="CC80" i="8"/>
  <c r="AZ77" i="8"/>
  <c r="BV77" i="8"/>
  <c r="CC113" i="8"/>
  <c r="BY125" i="8"/>
  <c r="BY114" i="8"/>
  <c r="AZ122" i="8"/>
  <c r="CD122" i="8" s="1"/>
  <c r="BV108" i="8"/>
  <c r="BU142" i="8"/>
  <c r="CC142" i="8"/>
  <c r="CC140" i="8"/>
  <c r="BW178" i="8"/>
  <c r="BA184" i="8"/>
  <c r="CE184" i="8" s="1"/>
  <c r="CC214" i="8"/>
  <c r="BT217" i="8"/>
  <c r="CD217" i="8" s="1"/>
  <c r="CE210" i="8"/>
  <c r="BU213" i="8"/>
  <c r="CE213" i="8" s="1"/>
  <c r="BY205" i="8"/>
  <c r="AZ209" i="8"/>
  <c r="CD209" i="8" s="1"/>
  <c r="AZ204" i="8"/>
  <c r="CD204" i="8" s="1"/>
  <c r="BA196" i="8"/>
  <c r="CE196" i="8" s="1"/>
  <c r="AZ200" i="8"/>
  <c r="CD200" i="8" s="1"/>
  <c r="CC241" i="8"/>
  <c r="BZ240" i="8"/>
  <c r="CC230" i="8"/>
  <c r="BW270" i="8"/>
  <c r="AZ304" i="8"/>
  <c r="AZ302" i="8"/>
  <c r="CD302" i="8" s="1"/>
  <c r="CC196" i="8"/>
  <c r="CC76" i="8"/>
  <c r="CC63" i="8"/>
  <c r="CC88" i="8"/>
  <c r="CC96" i="8"/>
  <c r="CC155" i="8"/>
  <c r="BX138" i="8"/>
  <c r="CC210" i="8"/>
  <c r="AZ226" i="8"/>
  <c r="BW237" i="8"/>
  <c r="AZ274" i="8"/>
  <c r="CD274" i="8" s="1"/>
  <c r="BB272" i="8"/>
  <c r="CD307" i="8"/>
  <c r="CD305" i="8"/>
  <c r="CC298" i="8"/>
  <c r="CI224" i="8"/>
  <c r="CC305" i="8"/>
  <c r="CC179" i="8"/>
  <c r="CC49" i="8"/>
  <c r="CC86" i="8"/>
  <c r="CC143" i="8"/>
  <c r="BO223" i="8"/>
  <c r="BQ223" i="8" s="1"/>
  <c r="BR223" i="8" s="1"/>
  <c r="BS223" i="8" s="1"/>
  <c r="CA223" i="8" s="1"/>
  <c r="CI223" i="8" s="1"/>
  <c r="CC226" i="8"/>
  <c r="CC114" i="8"/>
  <c r="BZ54" i="8"/>
  <c r="CC93" i="8"/>
  <c r="BA76" i="8"/>
  <c r="CE76" i="8" s="1"/>
  <c r="BT84" i="8"/>
  <c r="BU77" i="8"/>
  <c r="BY81" i="8"/>
  <c r="BW114" i="8"/>
  <c r="BW153" i="8"/>
  <c r="CC141" i="8"/>
  <c r="BZ142" i="8"/>
  <c r="CD150" i="8"/>
  <c r="BV138" i="8"/>
  <c r="BB178" i="8"/>
  <c r="BB184" i="8"/>
  <c r="CD173" i="8"/>
  <c r="CD177" i="8"/>
  <c r="CC207" i="8"/>
  <c r="BZ213" i="8"/>
  <c r="BG194" i="8"/>
  <c r="BL194" i="8" s="1"/>
  <c r="BV211" i="8"/>
  <c r="BB204" i="8"/>
  <c r="CC247" i="8"/>
  <c r="CC235" i="8"/>
  <c r="BE223" i="8"/>
  <c r="BJ223" i="8" s="1"/>
  <c r="BK223" i="8" s="1"/>
  <c r="BZ223" i="8" s="1"/>
  <c r="BB233" i="8"/>
  <c r="BY227" i="8"/>
  <c r="BT226" i="8"/>
  <c r="CE272" i="8"/>
  <c r="BA277" i="8"/>
  <c r="CE277" i="8" s="1"/>
  <c r="CC267" i="8"/>
  <c r="BU262" i="8"/>
  <c r="BY303" i="8"/>
  <c r="BW291" i="8"/>
  <c r="BU283" i="8"/>
  <c r="BE135" i="8"/>
  <c r="BJ135" i="8" s="1"/>
  <c r="BK135" i="8" s="1"/>
  <c r="BZ135" i="8" s="1"/>
  <c r="CC112" i="8"/>
  <c r="CC204" i="8"/>
  <c r="BU51" i="8"/>
  <c r="BX51" i="8"/>
  <c r="CC95" i="8"/>
  <c r="CC146" i="8"/>
  <c r="CC48" i="8"/>
  <c r="AZ114" i="8"/>
  <c r="CD114" i="8" s="1"/>
  <c r="CD212" i="8"/>
  <c r="CC306" i="8"/>
  <c r="BW303" i="8"/>
  <c r="BO135" i="8"/>
  <c r="BQ135" i="8" s="1"/>
  <c r="BR135" i="8" s="1"/>
  <c r="BS135" i="8" s="1"/>
  <c r="CA135" i="8" s="1"/>
  <c r="BU67" i="8"/>
  <c r="BX67" i="8"/>
  <c r="CE154" i="8"/>
  <c r="CC156" i="8"/>
  <c r="BT138" i="8"/>
  <c r="CC177" i="8"/>
  <c r="BE164" i="8"/>
  <c r="BJ164" i="8" s="1"/>
  <c r="BK164" i="8" s="1"/>
  <c r="BT164" i="8" s="1"/>
  <c r="BX84" i="8"/>
  <c r="CD115" i="8"/>
  <c r="CC205" i="8"/>
  <c r="CD207" i="8"/>
  <c r="BA226" i="8"/>
  <c r="BX226" i="8"/>
  <c r="CE244" i="8"/>
  <c r="BY237" i="8"/>
  <c r="BW277" i="8"/>
  <c r="CC299" i="8"/>
  <c r="BT67" i="8"/>
  <c r="CC59" i="8"/>
  <c r="BX78" i="8"/>
  <c r="BB76" i="8"/>
  <c r="BU84" i="8"/>
  <c r="BT77" i="8"/>
  <c r="BA81" i="8"/>
  <c r="BA122" i="8"/>
  <c r="CE122" i="8" s="1"/>
  <c r="BB114" i="8"/>
  <c r="CC157" i="8"/>
  <c r="BT142" i="8"/>
  <c r="BZ141" i="8"/>
  <c r="CC180" i="8"/>
  <c r="CC171" i="8"/>
  <c r="BA181" i="8"/>
  <c r="BY204" i="8"/>
  <c r="BT211" i="8"/>
  <c r="BW195" i="8"/>
  <c r="CC245" i="8"/>
  <c r="CC244" i="8"/>
  <c r="CC240" i="8"/>
  <c r="BA233" i="8"/>
  <c r="CE233" i="8" s="1"/>
  <c r="BW226" i="8"/>
  <c r="CD240" i="8"/>
  <c r="BU226" i="8"/>
  <c r="BB237" i="8"/>
  <c r="AZ277" i="8"/>
  <c r="CD277" i="8" s="1"/>
  <c r="BA274" i="8"/>
  <c r="CE274" i="8" s="1"/>
  <c r="CC260" i="8"/>
  <c r="BX269" i="8"/>
  <c r="CE271" i="8"/>
  <c r="CC304" i="8"/>
  <c r="BA303" i="8"/>
  <c r="CC303" i="8"/>
  <c r="BT283" i="8"/>
  <c r="AL194" i="8"/>
  <c r="AQ194" i="8" s="1"/>
  <c r="CC187" i="8"/>
  <c r="CC123" i="8"/>
  <c r="CC227" i="8"/>
  <c r="CC81" i="8"/>
  <c r="BW182" i="8"/>
  <c r="BA182" i="8"/>
  <c r="CE182" i="8" s="1"/>
  <c r="BV67" i="8"/>
  <c r="BY65" i="8"/>
  <c r="BV51" i="8"/>
  <c r="CC83" i="8"/>
  <c r="BT78" i="8"/>
  <c r="CD78" i="8" s="1"/>
  <c r="BV84" i="8"/>
  <c r="BA82" i="8"/>
  <c r="CE82" i="8" s="1"/>
  <c r="BW81" i="8"/>
  <c r="CC117" i="8"/>
  <c r="BY122" i="8"/>
  <c r="CC136" i="8"/>
  <c r="BX141" i="8"/>
  <c r="BY181" i="8"/>
  <c r="CC201" i="8"/>
  <c r="BA203" i="8"/>
  <c r="CE203" i="8" s="1"/>
  <c r="BY206" i="8"/>
  <c r="CC242" i="8"/>
  <c r="CC228" i="8"/>
  <c r="BB226" i="8"/>
  <c r="BV226" i="8"/>
  <c r="AZ237" i="8"/>
  <c r="CD237" i="8" s="1"/>
  <c r="BB277" i="8"/>
  <c r="BY274" i="8"/>
  <c r="BY272" i="8"/>
  <c r="CC271" i="8"/>
  <c r="BU269" i="8"/>
  <c r="CC302" i="8"/>
  <c r="AZ303" i="8"/>
  <c r="CD303" i="8" s="1"/>
  <c r="AL164" i="8"/>
  <c r="AQ164" i="8" s="1"/>
  <c r="BO164" i="8"/>
  <c r="BQ164" i="8" s="1"/>
  <c r="BR164" i="8" s="1"/>
  <c r="BS164" i="8" s="1"/>
  <c r="CA164" i="8" s="1"/>
  <c r="AT194" i="8"/>
  <c r="AW194" i="8" s="1"/>
  <c r="AX194" i="8" s="1"/>
  <c r="AY194" i="8" s="1"/>
  <c r="BC194" i="8" s="1"/>
  <c r="CI194" i="8" s="1"/>
  <c r="BA305" i="8"/>
  <c r="CE305" i="8" s="1"/>
  <c r="BW305" i="8"/>
  <c r="BU265" i="8"/>
  <c r="BX265" i="8"/>
  <c r="CC150" i="8"/>
  <c r="CC145" i="8"/>
  <c r="BZ67" i="8"/>
  <c r="CC52" i="8"/>
  <c r="CE64" i="8"/>
  <c r="AZ65" i="8"/>
  <c r="CC51" i="8"/>
  <c r="CC106" i="8"/>
  <c r="CD117" i="8"/>
  <c r="CD116" i="8"/>
  <c r="CC151" i="8"/>
  <c r="CC147" i="8"/>
  <c r="BV141" i="8"/>
  <c r="CC174" i="8"/>
  <c r="CE215" i="8"/>
  <c r="CC198" i="8"/>
  <c r="BB209" i="8"/>
  <c r="CC243" i="8"/>
  <c r="BX240" i="8"/>
  <c r="CC231" i="8"/>
  <c r="BY276" i="8"/>
  <c r="BB274" i="8"/>
  <c r="BW272" i="8"/>
  <c r="BA304" i="8"/>
  <c r="CE304" i="8" s="1"/>
  <c r="CC295" i="8"/>
  <c r="BG283" i="8"/>
  <c r="BL283" i="8" s="1"/>
  <c r="AZ208" i="8"/>
  <c r="BY208" i="8"/>
  <c r="CC183" i="8"/>
  <c r="BY172" i="8"/>
  <c r="AZ172" i="8"/>
  <c r="BC283" i="8"/>
  <c r="BB223" i="8"/>
  <c r="BW194" i="8"/>
  <c r="BY194" i="8"/>
  <c r="CI165" i="8"/>
  <c r="BU105" i="8"/>
  <c r="BU224" i="8"/>
  <c r="BY195" i="8"/>
  <c r="BW164" i="8"/>
  <c r="BY164" i="8"/>
  <c r="BV74" i="8"/>
  <c r="CO74" i="8" s="1"/>
  <c r="BZ74" i="8"/>
  <c r="BX300" i="8"/>
  <c r="BT300" i="8"/>
  <c r="BZ300" i="8"/>
  <c r="BU300" i="8"/>
  <c r="BV300" i="8"/>
  <c r="BW297" i="8"/>
  <c r="BA297" i="8"/>
  <c r="BY297" i="8"/>
  <c r="BB297" i="8"/>
  <c r="AZ297" i="8"/>
  <c r="CC307" i="8"/>
  <c r="BB298" i="8"/>
  <c r="BY298" i="8"/>
  <c r="AZ298" i="8"/>
  <c r="BW298" i="8"/>
  <c r="BA298" i="8"/>
  <c r="CC294" i="8"/>
  <c r="BU297" i="8"/>
  <c r="BZ297" i="8"/>
  <c r="BV297" i="8"/>
  <c r="BT297" i="8"/>
  <c r="BX297" i="8"/>
  <c r="BW295" i="8"/>
  <c r="BA295" i="8"/>
  <c r="BY295" i="8"/>
  <c r="BB295" i="8"/>
  <c r="AZ295" i="8"/>
  <c r="CC296" i="8"/>
  <c r="BY292" i="8"/>
  <c r="BW292" i="8"/>
  <c r="BA292" i="8"/>
  <c r="BB292" i="8"/>
  <c r="AZ292" i="8"/>
  <c r="CC290" i="8"/>
  <c r="CE288" i="8"/>
  <c r="CD306" i="8"/>
  <c r="AZ299" i="8"/>
  <c r="CD299" i="8" s="1"/>
  <c r="BA299" i="8"/>
  <c r="CE299" i="8" s="1"/>
  <c r="BY299" i="8"/>
  <c r="BW299" i="8"/>
  <c r="BB299" i="8"/>
  <c r="BY294" i="8"/>
  <c r="BW294" i="8"/>
  <c r="BA294" i="8"/>
  <c r="AZ294" i="8"/>
  <c r="BB294" i="8"/>
  <c r="CC297" i="8"/>
  <c r="BU293" i="8"/>
  <c r="BZ293" i="8"/>
  <c r="BV293" i="8"/>
  <c r="BT293" i="8"/>
  <c r="BX293" i="8"/>
  <c r="BX298" i="8"/>
  <c r="BT298" i="8"/>
  <c r="BV298" i="8"/>
  <c r="BU298" i="8"/>
  <c r="BZ298" i="8"/>
  <c r="BU294" i="8"/>
  <c r="BT294" i="8"/>
  <c r="BZ294" i="8"/>
  <c r="BX294" i="8"/>
  <c r="BV294" i="8"/>
  <c r="BU289" i="8"/>
  <c r="BV289" i="8"/>
  <c r="BZ289" i="8"/>
  <c r="BT289" i="8"/>
  <c r="BX289" i="8"/>
  <c r="BY296" i="8"/>
  <c r="BW296" i="8"/>
  <c r="BA296" i="8"/>
  <c r="BB296" i="8"/>
  <c r="AZ296" i="8"/>
  <c r="BW290" i="8"/>
  <c r="BA290" i="8"/>
  <c r="BB290" i="8"/>
  <c r="BY290" i="8"/>
  <c r="AZ290" i="8"/>
  <c r="CE302" i="8"/>
  <c r="CC293" i="8"/>
  <c r="CE306" i="8"/>
  <c r="BY289" i="8"/>
  <c r="BW289" i="8"/>
  <c r="BB289" i="8"/>
  <c r="BA289" i="8"/>
  <c r="AZ289" i="8"/>
  <c r="BW293" i="8"/>
  <c r="BA293" i="8"/>
  <c r="BY293" i="8"/>
  <c r="BB293" i="8"/>
  <c r="AZ293" i="8"/>
  <c r="BU296" i="8"/>
  <c r="BX296" i="8"/>
  <c r="BZ296" i="8"/>
  <c r="BV296" i="8"/>
  <c r="BT296" i="8"/>
  <c r="BU292" i="8"/>
  <c r="BX292" i="8"/>
  <c r="BZ292" i="8"/>
  <c r="BV292" i="8"/>
  <c r="BT292" i="8"/>
  <c r="BZ290" i="8"/>
  <c r="BU290" i="8"/>
  <c r="BV290" i="8"/>
  <c r="BT290" i="8"/>
  <c r="BX290" i="8"/>
  <c r="BU291" i="8"/>
  <c r="BV291" i="8"/>
  <c r="BZ291" i="8"/>
  <c r="BX291" i="8"/>
  <c r="BT291" i="8"/>
  <c r="CD291" i="8" s="1"/>
  <c r="BX286" i="8"/>
  <c r="BV286" i="8"/>
  <c r="BZ286" i="8"/>
  <c r="BU286" i="8"/>
  <c r="CE286" i="8" s="1"/>
  <c r="BT286" i="8"/>
  <c r="CC292" i="8"/>
  <c r="BX270" i="8"/>
  <c r="BT270" i="8"/>
  <c r="BZ270" i="8"/>
  <c r="BU270" i="8"/>
  <c r="BV270" i="8"/>
  <c r="BY257" i="8"/>
  <c r="AZ257" i="8"/>
  <c r="BW257" i="8"/>
  <c r="BB257" i="8"/>
  <c r="BA257" i="8"/>
  <c r="BY255" i="8"/>
  <c r="BW255" i="8"/>
  <c r="BA255" i="8"/>
  <c r="AZ255" i="8"/>
  <c r="BB255" i="8"/>
  <c r="BW254" i="8"/>
  <c r="BA254" i="8"/>
  <c r="BY254" i="8"/>
  <c r="AZ254" i="8"/>
  <c r="BB254" i="8"/>
  <c r="BW265" i="8"/>
  <c r="BA265" i="8"/>
  <c r="BY265" i="8"/>
  <c r="BB265" i="8"/>
  <c r="AZ265" i="8"/>
  <c r="CD265" i="8" s="1"/>
  <c r="CD275" i="8"/>
  <c r="BY262" i="8"/>
  <c r="BW262" i="8"/>
  <c r="BA262" i="8"/>
  <c r="AZ262" i="8"/>
  <c r="BB262" i="8"/>
  <c r="CC264" i="8"/>
  <c r="CC258" i="8"/>
  <c r="CC269" i="8"/>
  <c r="CC268" i="8"/>
  <c r="BY264" i="8"/>
  <c r="BW264" i="8"/>
  <c r="BA264" i="8"/>
  <c r="BB264" i="8"/>
  <c r="AZ264" i="8"/>
  <c r="BW261" i="8"/>
  <c r="BY261" i="8"/>
  <c r="BB261" i="8"/>
  <c r="BA261" i="8"/>
  <c r="AZ261" i="8"/>
  <c r="BB268" i="8"/>
  <c r="BY268" i="8"/>
  <c r="AZ268" i="8"/>
  <c r="CD268" i="8" s="1"/>
  <c r="BA268" i="8"/>
  <c r="CE268" i="8" s="1"/>
  <c r="BW268" i="8"/>
  <c r="BZ255" i="8"/>
  <c r="BT255" i="8"/>
  <c r="BX255" i="8"/>
  <c r="BU253" i="8"/>
  <c r="BT253" i="8"/>
  <c r="BT256" i="8"/>
  <c r="CD256" i="8" s="1"/>
  <c r="BX256" i="8"/>
  <c r="BV256" i="8"/>
  <c r="BZ256" i="8"/>
  <c r="BU256" i="8"/>
  <c r="CE256" i="8" s="1"/>
  <c r="CD276" i="8"/>
  <c r="BU267" i="8"/>
  <c r="BV267" i="8"/>
  <c r="BT267" i="8"/>
  <c r="BZ267" i="8"/>
  <c r="BX267" i="8"/>
  <c r="BW263" i="8"/>
  <c r="BA263" i="8"/>
  <c r="BY263" i="8"/>
  <c r="BB263" i="8"/>
  <c r="AZ263" i="8"/>
  <c r="BX258" i="8"/>
  <c r="BV258" i="8"/>
  <c r="BZ258" i="8"/>
  <c r="BU258" i="8"/>
  <c r="CE258" i="8" s="1"/>
  <c r="BT258" i="8"/>
  <c r="CD258" i="8" s="1"/>
  <c r="CE276" i="8"/>
  <c r="AZ269" i="8"/>
  <c r="BA269" i="8"/>
  <c r="BY269" i="8"/>
  <c r="BW269" i="8"/>
  <c r="BB269" i="8"/>
  <c r="BU264" i="8"/>
  <c r="BX264" i="8"/>
  <c r="BV264" i="8"/>
  <c r="BT264" i="8"/>
  <c r="BZ264" i="8"/>
  <c r="CE275" i="8"/>
  <c r="CC266" i="8"/>
  <c r="BU257" i="8"/>
  <c r="BZ257" i="8"/>
  <c r="BT257" i="8"/>
  <c r="BX257" i="8"/>
  <c r="BV257" i="8"/>
  <c r="BY266" i="8"/>
  <c r="BW266" i="8"/>
  <c r="BA266" i="8"/>
  <c r="CE266" i="8" s="1"/>
  <c r="AZ266" i="8"/>
  <c r="BB266" i="8"/>
  <c r="BW267" i="8"/>
  <c r="BA267" i="8"/>
  <c r="BY267" i="8"/>
  <c r="BB267" i="8"/>
  <c r="AZ267" i="8"/>
  <c r="CD267" i="8" s="1"/>
  <c r="BU263" i="8"/>
  <c r="BV263" i="8"/>
  <c r="BT263" i="8"/>
  <c r="BZ263" i="8"/>
  <c r="BX263" i="8"/>
  <c r="BU261" i="8"/>
  <c r="BZ261" i="8"/>
  <c r="BX261" i="8"/>
  <c r="BV261" i="8"/>
  <c r="BT261" i="8"/>
  <c r="CC256" i="8"/>
  <c r="CD260" i="8"/>
  <c r="CD271" i="8"/>
  <c r="BU227" i="8"/>
  <c r="BV227" i="8"/>
  <c r="BZ227" i="8"/>
  <c r="BT227" i="8"/>
  <c r="CD227" i="8" s="1"/>
  <c r="BX227" i="8"/>
  <c r="BU235" i="8"/>
  <c r="BZ235" i="8"/>
  <c r="BT235" i="8"/>
  <c r="BV235" i="8"/>
  <c r="BX235" i="8"/>
  <c r="BX232" i="8"/>
  <c r="BZ232" i="8"/>
  <c r="BU232" i="8"/>
  <c r="BV232" i="8"/>
  <c r="BT232" i="8"/>
  <c r="BU230" i="8"/>
  <c r="BZ230" i="8"/>
  <c r="BX230" i="8"/>
  <c r="BV230" i="8"/>
  <c r="BT230" i="8"/>
  <c r="BW232" i="8"/>
  <c r="BA232" i="8"/>
  <c r="BB232" i="8"/>
  <c r="AZ232" i="8"/>
  <c r="BY232" i="8"/>
  <c r="BW229" i="8"/>
  <c r="BA229" i="8"/>
  <c r="BY229" i="8"/>
  <c r="BB229" i="8"/>
  <c r="AZ229" i="8"/>
  <c r="CD238" i="8"/>
  <c r="BB247" i="8"/>
  <c r="BW247" i="8"/>
  <c r="BA247" i="8"/>
  <c r="CE247" i="8" s="1"/>
  <c r="BY247" i="8"/>
  <c r="AZ247" i="8"/>
  <c r="CD247" i="8" s="1"/>
  <c r="BB239" i="8"/>
  <c r="BW239" i="8"/>
  <c r="BA239" i="8"/>
  <c r="CE239" i="8" s="1"/>
  <c r="BY239" i="8"/>
  <c r="AZ239" i="8"/>
  <c r="CD239" i="8" s="1"/>
  <c r="BY230" i="8"/>
  <c r="BW230" i="8"/>
  <c r="BA230" i="8"/>
  <c r="BB230" i="8"/>
  <c r="AZ230" i="8"/>
  <c r="BY235" i="8"/>
  <c r="BW235" i="8"/>
  <c r="BB235" i="8"/>
  <c r="AZ235" i="8"/>
  <c r="BA235" i="8"/>
  <c r="AZ246" i="8"/>
  <c r="CD246" i="8" s="1"/>
  <c r="BY246" i="8"/>
  <c r="BA246" i="8"/>
  <c r="CE246" i="8" s="1"/>
  <c r="BW246" i="8"/>
  <c r="BB246" i="8"/>
  <c r="BY228" i="8"/>
  <c r="BW228" i="8"/>
  <c r="BA228" i="8"/>
  <c r="CE228" i="8" s="1"/>
  <c r="BB228" i="8"/>
  <c r="AZ228" i="8"/>
  <c r="BZ236" i="8"/>
  <c r="BU236" i="8"/>
  <c r="BX236" i="8"/>
  <c r="BT236" i="8"/>
  <c r="BV236" i="8"/>
  <c r="BB243" i="8"/>
  <c r="BW243" i="8"/>
  <c r="BA243" i="8"/>
  <c r="CE243" i="8" s="1"/>
  <c r="BY243" i="8"/>
  <c r="AZ243" i="8"/>
  <c r="CD243" i="8" s="1"/>
  <c r="BW236" i="8"/>
  <c r="BA236" i="8"/>
  <c r="BB236" i="8"/>
  <c r="AZ236" i="8"/>
  <c r="BY236" i="8"/>
  <c r="BB241" i="8"/>
  <c r="BW241" i="8"/>
  <c r="BA241" i="8"/>
  <c r="CE241" i="8" s="1"/>
  <c r="BY241" i="8"/>
  <c r="AZ241" i="8"/>
  <c r="CD241" i="8" s="1"/>
  <c r="BU231" i="8"/>
  <c r="BT231" i="8"/>
  <c r="BZ231" i="8"/>
  <c r="BX231" i="8"/>
  <c r="BV231" i="8"/>
  <c r="BB245" i="8"/>
  <c r="BW245" i="8"/>
  <c r="BA245" i="8"/>
  <c r="CE245" i="8" s="1"/>
  <c r="BY245" i="8"/>
  <c r="AZ245" i="8"/>
  <c r="CD245" i="8" s="1"/>
  <c r="CC238" i="8"/>
  <c r="CE234" i="8"/>
  <c r="AZ242" i="8"/>
  <c r="BY242" i="8"/>
  <c r="BA242" i="8"/>
  <c r="BB242" i="8"/>
  <c r="BW242" i="8"/>
  <c r="CC236" i="8"/>
  <c r="BW231" i="8"/>
  <c r="BA231" i="8"/>
  <c r="BY231" i="8"/>
  <c r="AZ231" i="8"/>
  <c r="BB231" i="8"/>
  <c r="CC246" i="8"/>
  <c r="CC229" i="8"/>
  <c r="BU229" i="8"/>
  <c r="BX229" i="8"/>
  <c r="BV229" i="8"/>
  <c r="BT229" i="8"/>
  <c r="BZ229" i="8"/>
  <c r="CE238" i="8"/>
  <c r="CD244" i="8"/>
  <c r="CD216" i="8"/>
  <c r="BB211" i="8"/>
  <c r="AZ211" i="8"/>
  <c r="BY211" i="8"/>
  <c r="BW211" i="8"/>
  <c r="BA211" i="8"/>
  <c r="BZ201" i="8"/>
  <c r="BV201" i="8"/>
  <c r="BX201" i="8"/>
  <c r="BT201" i="8"/>
  <c r="CD201" i="8" s="1"/>
  <c r="BU201" i="8"/>
  <c r="CE201" i="8" s="1"/>
  <c r="CD210" i="8"/>
  <c r="BX197" i="8"/>
  <c r="BT197" i="8"/>
  <c r="CD197" i="8" s="1"/>
  <c r="BV197" i="8"/>
  <c r="BZ197" i="8"/>
  <c r="BU197" i="8"/>
  <c r="CE197" i="8" s="1"/>
  <c r="CE202" i="8"/>
  <c r="BX208" i="8"/>
  <c r="BT208" i="8"/>
  <c r="BZ208" i="8"/>
  <c r="BU208" i="8"/>
  <c r="CE208" i="8" s="1"/>
  <c r="BV208" i="8"/>
  <c r="AZ198" i="8"/>
  <c r="CD198" i="8" s="1"/>
  <c r="BA198" i="8"/>
  <c r="CE198" i="8" s="1"/>
  <c r="BY198" i="8"/>
  <c r="BW198" i="8"/>
  <c r="BB198" i="8"/>
  <c r="CE216" i="8"/>
  <c r="CD196" i="8"/>
  <c r="CE207" i="8"/>
  <c r="CD203" i="8"/>
  <c r="CD202" i="8"/>
  <c r="CD214" i="8"/>
  <c r="BX199" i="8"/>
  <c r="BT199" i="8"/>
  <c r="CD199" i="8" s="1"/>
  <c r="BZ199" i="8"/>
  <c r="BU199" i="8"/>
  <c r="CE199" i="8" s="1"/>
  <c r="BV199" i="8"/>
  <c r="CD184" i="8"/>
  <c r="BU171" i="8"/>
  <c r="BZ171" i="8"/>
  <c r="BX171" i="8"/>
  <c r="BV171" i="8"/>
  <c r="BT171" i="8"/>
  <c r="BW167" i="8"/>
  <c r="BA167" i="8"/>
  <c r="BY167" i="8"/>
  <c r="BB167" i="8"/>
  <c r="AZ167" i="8"/>
  <c r="BY168" i="8"/>
  <c r="BW168" i="8"/>
  <c r="BA168" i="8"/>
  <c r="AZ168" i="8"/>
  <c r="BB168" i="8"/>
  <c r="CC182" i="8"/>
  <c r="BX166" i="8"/>
  <c r="BV166" i="8"/>
  <c r="BU166" i="8"/>
  <c r="CE166" i="8" s="1"/>
  <c r="BZ166" i="8"/>
  <c r="BT166" i="8"/>
  <c r="CD166" i="8" s="1"/>
  <c r="CE180" i="8"/>
  <c r="BX187" i="8"/>
  <c r="BT187" i="8"/>
  <c r="BZ187" i="8"/>
  <c r="BV187" i="8"/>
  <c r="BU187" i="8"/>
  <c r="CE187" i="8" s="1"/>
  <c r="BX183" i="8"/>
  <c r="BT183" i="8"/>
  <c r="BZ183" i="8"/>
  <c r="BV183" i="8"/>
  <c r="BU183" i="8"/>
  <c r="CE183" i="8" s="1"/>
  <c r="BX179" i="8"/>
  <c r="BT179" i="8"/>
  <c r="CD179" i="8" s="1"/>
  <c r="BZ179" i="8"/>
  <c r="BV179" i="8"/>
  <c r="BU179" i="8"/>
  <c r="CE179" i="8" s="1"/>
  <c r="CD186" i="8"/>
  <c r="BZ178" i="8"/>
  <c r="BV178" i="8"/>
  <c r="BX178" i="8"/>
  <c r="BT178" i="8"/>
  <c r="BU178" i="8"/>
  <c r="CE178" i="8" s="1"/>
  <c r="AZ175" i="8"/>
  <c r="CD175" i="8" s="1"/>
  <c r="BA175" i="8"/>
  <c r="CE175" i="8" s="1"/>
  <c r="BY175" i="8"/>
  <c r="BW175" i="8"/>
  <c r="BB175" i="8"/>
  <c r="CC166" i="8"/>
  <c r="CE186" i="8"/>
  <c r="BX172" i="8"/>
  <c r="BT172" i="8"/>
  <c r="BZ172" i="8"/>
  <c r="BU172" i="8"/>
  <c r="CE172" i="8" s="1"/>
  <c r="BV172" i="8"/>
  <c r="BW171" i="8"/>
  <c r="BA171" i="8"/>
  <c r="BY171" i="8"/>
  <c r="BB171" i="8"/>
  <c r="AZ171" i="8"/>
  <c r="BU167" i="8"/>
  <c r="BZ167" i="8"/>
  <c r="BX167" i="8"/>
  <c r="BV167" i="8"/>
  <c r="BT167" i="8"/>
  <c r="CC175" i="8"/>
  <c r="BW169" i="8"/>
  <c r="BA169" i="8"/>
  <c r="CE169" i="8" s="1"/>
  <c r="BY169" i="8"/>
  <c r="BB169" i="8"/>
  <c r="AZ169" i="8"/>
  <c r="CD169" i="8" s="1"/>
  <c r="CD180" i="8"/>
  <c r="BX185" i="8"/>
  <c r="BT185" i="8"/>
  <c r="BZ185" i="8"/>
  <c r="BV185" i="8"/>
  <c r="BU185" i="8"/>
  <c r="BX181" i="8"/>
  <c r="BT181" i="8"/>
  <c r="CD181" i="8" s="1"/>
  <c r="BZ181" i="8"/>
  <c r="BV181" i="8"/>
  <c r="BU181" i="8"/>
  <c r="BX176" i="8"/>
  <c r="BT176" i="8"/>
  <c r="CD176" i="8" s="1"/>
  <c r="BZ176" i="8"/>
  <c r="BU176" i="8"/>
  <c r="CE176" i="8" s="1"/>
  <c r="BV176" i="8"/>
  <c r="BU168" i="8"/>
  <c r="BT168" i="8"/>
  <c r="BZ168" i="8"/>
  <c r="BX168" i="8"/>
  <c r="BV168" i="8"/>
  <c r="CC170" i="8"/>
  <c r="BY170" i="8"/>
  <c r="BW170" i="8"/>
  <c r="BA170" i="8"/>
  <c r="BB170" i="8"/>
  <c r="AZ170" i="8"/>
  <c r="BX144" i="8"/>
  <c r="BZ144" i="8"/>
  <c r="BU144" i="8"/>
  <c r="BT144" i="8"/>
  <c r="BV144" i="8"/>
  <c r="CE156" i="8"/>
  <c r="BW137" i="8"/>
  <c r="BA137" i="8"/>
  <c r="BY137" i="8"/>
  <c r="AZ137" i="8"/>
  <c r="BB137" i="8"/>
  <c r="BB155" i="8"/>
  <c r="BW155" i="8"/>
  <c r="BA155" i="8"/>
  <c r="AZ155" i="8"/>
  <c r="BY155" i="8"/>
  <c r="BX151" i="8"/>
  <c r="BT151" i="8"/>
  <c r="CD151" i="8" s="1"/>
  <c r="BU151" i="8"/>
  <c r="CE151" i="8" s="1"/>
  <c r="BV151" i="8"/>
  <c r="BZ151" i="8"/>
  <c r="AZ148" i="8"/>
  <c r="BA148" i="8"/>
  <c r="BW148" i="8"/>
  <c r="BB148" i="8"/>
  <c r="BY148" i="8"/>
  <c r="CC152" i="8"/>
  <c r="BU146" i="8"/>
  <c r="BV146" i="8"/>
  <c r="BT146" i="8"/>
  <c r="BZ146" i="8"/>
  <c r="BX146" i="8"/>
  <c r="BU147" i="8"/>
  <c r="BX147" i="8"/>
  <c r="BV147" i="8"/>
  <c r="BT147" i="8"/>
  <c r="BZ147" i="8"/>
  <c r="BU140" i="8"/>
  <c r="BZ140" i="8"/>
  <c r="BV140" i="8"/>
  <c r="BX140" i="8"/>
  <c r="BT140" i="8"/>
  <c r="BU136" i="8"/>
  <c r="BZ136" i="8"/>
  <c r="BV136" i="8"/>
  <c r="BT136" i="8"/>
  <c r="BX136" i="8"/>
  <c r="CC139" i="8"/>
  <c r="CC144" i="8"/>
  <c r="BU143" i="8"/>
  <c r="BZ143" i="8"/>
  <c r="BT143" i="8"/>
  <c r="BV143" i="8"/>
  <c r="BX143" i="8"/>
  <c r="BX157" i="8"/>
  <c r="BT157" i="8"/>
  <c r="BZ157" i="8"/>
  <c r="BV157" i="8"/>
  <c r="BU157" i="8"/>
  <c r="BZ148" i="8"/>
  <c r="BV148" i="8"/>
  <c r="BU148" i="8"/>
  <c r="BX148" i="8"/>
  <c r="BT148" i="8"/>
  <c r="BW147" i="8"/>
  <c r="BA147" i="8"/>
  <c r="CE147" i="8" s="1"/>
  <c r="BY147" i="8"/>
  <c r="BB147" i="8"/>
  <c r="AZ147" i="8"/>
  <c r="BB157" i="8"/>
  <c r="BW157" i="8"/>
  <c r="BA157" i="8"/>
  <c r="AZ157" i="8"/>
  <c r="BY157" i="8"/>
  <c r="BY140" i="8"/>
  <c r="BW140" i="8"/>
  <c r="BA140" i="8"/>
  <c r="AZ140" i="8"/>
  <c r="BB140" i="8"/>
  <c r="BW139" i="8"/>
  <c r="BA139" i="8"/>
  <c r="CE139" i="8" s="1"/>
  <c r="BY139" i="8"/>
  <c r="AZ139" i="8"/>
  <c r="CD139" i="8" s="1"/>
  <c r="BB139" i="8"/>
  <c r="CC148" i="8"/>
  <c r="BY143" i="8"/>
  <c r="AZ143" i="8"/>
  <c r="BW143" i="8"/>
  <c r="BB143" i="8"/>
  <c r="BA143" i="8"/>
  <c r="BX155" i="8"/>
  <c r="BT155" i="8"/>
  <c r="BZ155" i="8"/>
  <c r="BV155" i="8"/>
  <c r="BU155" i="8"/>
  <c r="CE153" i="8"/>
  <c r="AZ152" i="8"/>
  <c r="CD152" i="8" s="1"/>
  <c r="BY152" i="8"/>
  <c r="BB152" i="8"/>
  <c r="BA152" i="8"/>
  <c r="CE152" i="8" s="1"/>
  <c r="BW152" i="8"/>
  <c r="BY146" i="8"/>
  <c r="BW146" i="8"/>
  <c r="BA146" i="8"/>
  <c r="BB146" i="8"/>
  <c r="AZ146" i="8"/>
  <c r="CD156" i="8"/>
  <c r="BY136" i="8"/>
  <c r="BW136" i="8"/>
  <c r="BA136" i="8"/>
  <c r="BB136" i="8"/>
  <c r="AZ136" i="8"/>
  <c r="BY138" i="8"/>
  <c r="BW138" i="8"/>
  <c r="BA138" i="8"/>
  <c r="CE138" i="8" s="1"/>
  <c r="BB138" i="8"/>
  <c r="AZ138" i="8"/>
  <c r="CD154" i="8"/>
  <c r="BU137" i="8"/>
  <c r="BT137" i="8"/>
  <c r="BX137" i="8"/>
  <c r="BV137" i="8"/>
  <c r="BZ137" i="8"/>
  <c r="BV133" i="8"/>
  <c r="BW144" i="8"/>
  <c r="BA144" i="8"/>
  <c r="BB144" i="8"/>
  <c r="BY144" i="8"/>
  <c r="AZ144" i="8"/>
  <c r="BX107" i="8"/>
  <c r="BT107" i="8"/>
  <c r="CD107" i="8" s="1"/>
  <c r="BV107" i="8"/>
  <c r="BZ107" i="8"/>
  <c r="BU107" i="8"/>
  <c r="CE107" i="8" s="1"/>
  <c r="BX121" i="8"/>
  <c r="BT121" i="8"/>
  <c r="CD121" i="8" s="1"/>
  <c r="BZ121" i="8"/>
  <c r="BV121" i="8"/>
  <c r="BU121" i="8"/>
  <c r="CE121" i="8" s="1"/>
  <c r="BW104" i="8"/>
  <c r="BY104" i="8"/>
  <c r="AZ106" i="8"/>
  <c r="BW106" i="8"/>
  <c r="BA106" i="8"/>
  <c r="BY106" i="8"/>
  <c r="BB106" i="8"/>
  <c r="AZ110" i="8"/>
  <c r="CD110" i="8" s="1"/>
  <c r="BA110" i="8"/>
  <c r="CE110" i="8" s="1"/>
  <c r="BY110" i="8"/>
  <c r="BW110" i="8"/>
  <c r="BB110" i="8"/>
  <c r="CE115" i="8"/>
  <c r="CE117" i="8"/>
  <c r="CE113" i="8"/>
  <c r="CD113" i="8"/>
  <c r="BZ118" i="8"/>
  <c r="BV118" i="8"/>
  <c r="BX118" i="8"/>
  <c r="BT118" i="8"/>
  <c r="CD118" i="8" s="1"/>
  <c r="BU118" i="8"/>
  <c r="CE118" i="8" s="1"/>
  <c r="CC122" i="8"/>
  <c r="CD111" i="8"/>
  <c r="BX125" i="8"/>
  <c r="BT125" i="8"/>
  <c r="BZ125" i="8"/>
  <c r="BV125" i="8"/>
  <c r="BU125" i="8"/>
  <c r="CE125" i="8" s="1"/>
  <c r="BX109" i="8"/>
  <c r="BT109" i="8"/>
  <c r="CD109" i="8" s="1"/>
  <c r="BV109" i="8"/>
  <c r="BZ109" i="8"/>
  <c r="BU109" i="8"/>
  <c r="CE109" i="8" s="1"/>
  <c r="CD108" i="8"/>
  <c r="BX127" i="8"/>
  <c r="BT127" i="8"/>
  <c r="CD127" i="8" s="1"/>
  <c r="BZ127" i="8"/>
  <c r="BV127" i="8"/>
  <c r="BU127" i="8"/>
  <c r="CE127" i="8" s="1"/>
  <c r="BX123" i="8"/>
  <c r="BT123" i="8"/>
  <c r="CD123" i="8" s="1"/>
  <c r="BZ123" i="8"/>
  <c r="BV123" i="8"/>
  <c r="BU123" i="8"/>
  <c r="CE123" i="8" s="1"/>
  <c r="BX119" i="8"/>
  <c r="BT119" i="8"/>
  <c r="CD119" i="8" s="1"/>
  <c r="BZ119" i="8"/>
  <c r="BV119" i="8"/>
  <c r="BU119" i="8"/>
  <c r="CE119" i="8" s="1"/>
  <c r="BB97" i="8"/>
  <c r="BW97" i="8"/>
  <c r="BA97" i="8"/>
  <c r="CE97" i="8" s="1"/>
  <c r="BY97" i="8"/>
  <c r="AZ97" i="8"/>
  <c r="CD97" i="8" s="1"/>
  <c r="BB89" i="8"/>
  <c r="BW89" i="8"/>
  <c r="BA89" i="8"/>
  <c r="CE89" i="8" s="1"/>
  <c r="BY89" i="8"/>
  <c r="AZ89" i="8"/>
  <c r="CD89" i="8" s="1"/>
  <c r="AZ80" i="8"/>
  <c r="BW80" i="8"/>
  <c r="BB80" i="8"/>
  <c r="BA80" i="8"/>
  <c r="BY80" i="8"/>
  <c r="BX81" i="8"/>
  <c r="BT81" i="8"/>
  <c r="BV81" i="8"/>
  <c r="BZ81" i="8"/>
  <c r="BU81" i="8"/>
  <c r="BV87" i="8"/>
  <c r="BX87" i="8"/>
  <c r="BZ87" i="8"/>
  <c r="BT87" i="8"/>
  <c r="CD87" i="8" s="1"/>
  <c r="BU87" i="8"/>
  <c r="CE87" i="8" s="1"/>
  <c r="BB95" i="8"/>
  <c r="BW95" i="8"/>
  <c r="BA95" i="8"/>
  <c r="CE95" i="8" s="1"/>
  <c r="BY95" i="8"/>
  <c r="AZ95" i="8"/>
  <c r="CD95" i="8" s="1"/>
  <c r="AZ84" i="8"/>
  <c r="BA84" i="8"/>
  <c r="BY84" i="8"/>
  <c r="BW84" i="8"/>
  <c r="BB84" i="8"/>
  <c r="CD90" i="8"/>
  <c r="CE78" i="8"/>
  <c r="CD94" i="8"/>
  <c r="CD82" i="8"/>
  <c r="BB93" i="8"/>
  <c r="BW93" i="8"/>
  <c r="BA93" i="8"/>
  <c r="CE93" i="8" s="1"/>
  <c r="BY93" i="8"/>
  <c r="AZ93" i="8"/>
  <c r="CD93" i="8" s="1"/>
  <c r="BX85" i="8"/>
  <c r="BT85" i="8"/>
  <c r="CD85" i="8" s="1"/>
  <c r="BZ85" i="8"/>
  <c r="BU85" i="8"/>
  <c r="CE85" i="8" s="1"/>
  <c r="BV85" i="8"/>
  <c r="BX79" i="8"/>
  <c r="BT79" i="8"/>
  <c r="BV79" i="8"/>
  <c r="BZ79" i="8"/>
  <c r="BU79" i="8"/>
  <c r="CC89" i="8"/>
  <c r="BX83" i="8"/>
  <c r="BT83" i="8"/>
  <c r="CD83" i="8" s="1"/>
  <c r="BV83" i="8"/>
  <c r="BU83" i="8"/>
  <c r="CE83" i="8" s="1"/>
  <c r="BZ83" i="8"/>
  <c r="BB91" i="8"/>
  <c r="BW91" i="8"/>
  <c r="BA91" i="8"/>
  <c r="CE91" i="8" s="1"/>
  <c r="BY91" i="8"/>
  <c r="AZ91" i="8"/>
  <c r="CD91" i="8" s="1"/>
  <c r="CC90" i="8"/>
  <c r="AZ92" i="8"/>
  <c r="CD92" i="8" s="1"/>
  <c r="BY92" i="8"/>
  <c r="BA92" i="8"/>
  <c r="CE92" i="8" s="1"/>
  <c r="BB92" i="8"/>
  <c r="BW92" i="8"/>
  <c r="AZ96" i="8"/>
  <c r="CD96" i="8" s="1"/>
  <c r="BY96" i="8"/>
  <c r="BA96" i="8"/>
  <c r="CE96" i="8" s="1"/>
  <c r="BW96" i="8"/>
  <c r="BB96" i="8"/>
  <c r="CD86" i="8"/>
  <c r="CD76" i="8"/>
  <c r="CE94" i="8"/>
  <c r="BX53" i="8"/>
  <c r="BZ53" i="8"/>
  <c r="BU53" i="8"/>
  <c r="BV53" i="8"/>
  <c r="BT53" i="8"/>
  <c r="BW49" i="8"/>
  <c r="BA49" i="8"/>
  <c r="BY49" i="8"/>
  <c r="BB49" i="8"/>
  <c r="AZ49" i="8"/>
  <c r="CC46" i="8"/>
  <c r="CC53" i="8"/>
  <c r="CC57" i="8"/>
  <c r="BY52" i="8"/>
  <c r="BW52" i="8"/>
  <c r="BA52" i="8"/>
  <c r="CE52" i="8" s="1"/>
  <c r="AZ52" i="8"/>
  <c r="BB52" i="8"/>
  <c r="BW63" i="8"/>
  <c r="BA63" i="8"/>
  <c r="CE63" i="8" s="1"/>
  <c r="AZ63" i="8"/>
  <c r="CD63" i="8" s="1"/>
  <c r="BB63" i="8"/>
  <c r="BY63" i="8"/>
  <c r="AZ61" i="8"/>
  <c r="CD61" i="8" s="1"/>
  <c r="BW61" i="8"/>
  <c r="BB61" i="8"/>
  <c r="BA61" i="8"/>
  <c r="CE61" i="8" s="1"/>
  <c r="BY61" i="8"/>
  <c r="BU56" i="8"/>
  <c r="BZ56" i="8"/>
  <c r="BT56" i="8"/>
  <c r="BV56" i="8"/>
  <c r="BX56" i="8"/>
  <c r="BU50" i="8"/>
  <c r="BX50" i="8"/>
  <c r="BV50" i="8"/>
  <c r="BT50" i="8"/>
  <c r="BZ50" i="8"/>
  <c r="BZ46" i="8"/>
  <c r="BV46" i="8"/>
  <c r="BU46" i="8"/>
  <c r="CE46" i="8" s="1"/>
  <c r="BX46" i="8"/>
  <c r="BT46" i="8"/>
  <c r="CD46" i="8" s="1"/>
  <c r="CC67" i="8"/>
  <c r="BW53" i="8"/>
  <c r="BA53" i="8"/>
  <c r="BB53" i="8"/>
  <c r="AZ53" i="8"/>
  <c r="BY53" i="8"/>
  <c r="BW51" i="8"/>
  <c r="BA51" i="8"/>
  <c r="BY51" i="8"/>
  <c r="BB51" i="8"/>
  <c r="AZ51" i="8"/>
  <c r="CD51" i="8" s="1"/>
  <c r="CC56" i="8"/>
  <c r="CC58" i="8"/>
  <c r="BU49" i="8"/>
  <c r="BV49" i="8"/>
  <c r="BT49" i="8"/>
  <c r="BZ49" i="8"/>
  <c r="BX49" i="8"/>
  <c r="BU47" i="8"/>
  <c r="BV47" i="8"/>
  <c r="BZ47" i="8"/>
  <c r="BT47" i="8"/>
  <c r="BX47" i="8"/>
  <c r="CC61" i="8"/>
  <c r="BY50" i="8"/>
  <c r="BW50" i="8"/>
  <c r="BA50" i="8"/>
  <c r="BB50" i="8"/>
  <c r="AZ50" i="8"/>
  <c r="CC47" i="8"/>
  <c r="BX58" i="8"/>
  <c r="BT58" i="8"/>
  <c r="BZ58" i="8"/>
  <c r="BU58" i="8"/>
  <c r="BV58" i="8"/>
  <c r="BX60" i="8"/>
  <c r="BT60" i="8"/>
  <c r="CD60" i="8" s="1"/>
  <c r="BV60" i="8"/>
  <c r="BZ60" i="8"/>
  <c r="BU60" i="8"/>
  <c r="CE60" i="8" s="1"/>
  <c r="AZ59" i="8"/>
  <c r="CD59" i="8" s="1"/>
  <c r="BW59" i="8"/>
  <c r="BB59" i="8"/>
  <c r="BA59" i="8"/>
  <c r="CE59" i="8" s="1"/>
  <c r="BY59" i="8"/>
  <c r="BB57" i="8"/>
  <c r="BW57" i="8"/>
  <c r="BA57" i="8"/>
  <c r="BY57" i="8"/>
  <c r="AZ57" i="8"/>
  <c r="BU48" i="8"/>
  <c r="CE48" i="8" s="1"/>
  <c r="BT48" i="8"/>
  <c r="CD48" i="8" s="1"/>
  <c r="BZ48" i="8"/>
  <c r="BX48" i="8"/>
  <c r="BV48" i="8"/>
  <c r="BB58" i="8"/>
  <c r="BY58" i="8"/>
  <c r="BW58" i="8"/>
  <c r="AZ58" i="8"/>
  <c r="BA58" i="8"/>
  <c r="BU62" i="8"/>
  <c r="BX62" i="8"/>
  <c r="BT62" i="8"/>
  <c r="CD62" i="8" s="1"/>
  <c r="BZ62" i="8"/>
  <c r="BV62" i="8"/>
  <c r="BU66" i="8"/>
  <c r="BX66" i="8"/>
  <c r="BT66" i="8"/>
  <c r="CD66" i="8" s="1"/>
  <c r="BZ66" i="8"/>
  <c r="BV66" i="8"/>
  <c r="BW67" i="8"/>
  <c r="BA67" i="8"/>
  <c r="AZ67" i="8"/>
  <c r="BB67" i="8"/>
  <c r="BY67" i="8"/>
  <c r="BX57" i="8"/>
  <c r="BT57" i="8"/>
  <c r="BU57" i="8"/>
  <c r="BV57" i="8"/>
  <c r="BZ57" i="8"/>
  <c r="BY56" i="8"/>
  <c r="BW56" i="8"/>
  <c r="BB56" i="8"/>
  <c r="AZ56" i="8"/>
  <c r="BA56" i="8"/>
  <c r="CE55" i="8"/>
  <c r="BY47" i="8"/>
  <c r="BW47" i="8"/>
  <c r="BB47" i="8"/>
  <c r="BA47" i="8"/>
  <c r="AZ47" i="8"/>
  <c r="BV253" i="8" l="1"/>
  <c r="BZ225" i="8"/>
  <c r="BV105" i="8"/>
  <c r="CF105" i="8" s="1"/>
  <c r="BU74" i="8"/>
  <c r="BT74" i="8"/>
  <c r="BA44" i="8"/>
  <c r="AZ44" i="8"/>
  <c r="CD44" i="8" s="1"/>
  <c r="BC44" i="8"/>
  <c r="CI44" i="8" s="1"/>
  <c r="CI43" i="8"/>
  <c r="BB283" i="8"/>
  <c r="BX225" i="8"/>
  <c r="BX133" i="8"/>
  <c r="BZ133" i="8"/>
  <c r="BT133" i="8"/>
  <c r="CC134" i="8"/>
  <c r="CC44" i="8"/>
  <c r="CD106" i="8"/>
  <c r="BX104" i="8"/>
  <c r="CD185" i="8"/>
  <c r="CD80" i="8"/>
  <c r="CE211" i="8"/>
  <c r="CD79" i="8"/>
  <c r="CE80" i="8"/>
  <c r="BV43" i="8"/>
  <c r="CC224" i="8"/>
  <c r="BZ43" i="8"/>
  <c r="BU104" i="8"/>
  <c r="AZ105" i="8"/>
  <c r="CD105" i="8" s="1"/>
  <c r="AZ165" i="8"/>
  <c r="BW165" i="8"/>
  <c r="BB165" i="8"/>
  <c r="CM165" i="8" s="1"/>
  <c r="BA165" i="8"/>
  <c r="BT104" i="8"/>
  <c r="BV104" i="8"/>
  <c r="CO104" i="8" s="1"/>
  <c r="BY75" i="8"/>
  <c r="BV44" i="8"/>
  <c r="CO44" i="8" s="1"/>
  <c r="CD52" i="8"/>
  <c r="BV193" i="8"/>
  <c r="BX44" i="8"/>
  <c r="CE170" i="8"/>
  <c r="BB195" i="8"/>
  <c r="CM195" i="8" s="1"/>
  <c r="BA223" i="8"/>
  <c r="CD304" i="8"/>
  <c r="CI225" i="8"/>
  <c r="BY135" i="8"/>
  <c r="AZ195" i="8"/>
  <c r="BV163" i="8"/>
  <c r="BW223" i="8"/>
  <c r="CC105" i="8"/>
  <c r="CC133" i="8"/>
  <c r="CD269" i="8"/>
  <c r="BC195" i="8"/>
  <c r="CI195" i="8" s="1"/>
  <c r="BA104" i="8"/>
  <c r="CE66" i="8"/>
  <c r="BZ44" i="8"/>
  <c r="BX254" i="8"/>
  <c r="CD300" i="8"/>
  <c r="AZ223" i="8"/>
  <c r="BZ253" i="8"/>
  <c r="BU254" i="8"/>
  <c r="CE254" i="8" s="1"/>
  <c r="BV284" i="8"/>
  <c r="CO284" i="8" s="1"/>
  <c r="BA283" i="8"/>
  <c r="CE283" i="8" s="1"/>
  <c r="BT194" i="8"/>
  <c r="BX194" i="8"/>
  <c r="BY133" i="8"/>
  <c r="BB133" i="8"/>
  <c r="CF133" i="8" s="1"/>
  <c r="BB104" i="8"/>
  <c r="CF104" i="8" s="1"/>
  <c r="AZ75" i="8"/>
  <c r="CD75" i="8" s="1"/>
  <c r="BU44" i="8"/>
  <c r="BB43" i="8"/>
  <c r="BT43" i="8"/>
  <c r="CC43" i="8"/>
  <c r="BX43" i="8"/>
  <c r="AZ283" i="8"/>
  <c r="CD283" i="8" s="1"/>
  <c r="BW283" i="8"/>
  <c r="BU255" i="8"/>
  <c r="CE255" i="8" s="1"/>
  <c r="BV255" i="8"/>
  <c r="CF255" i="8" s="1"/>
  <c r="BZ194" i="8"/>
  <c r="CI193" i="8"/>
  <c r="BB164" i="8"/>
  <c r="CM164" i="8" s="1"/>
  <c r="AZ133" i="8"/>
  <c r="CD133" i="8" s="1"/>
  <c r="BY105" i="8"/>
  <c r="BW105" i="8"/>
  <c r="BB105" i="8"/>
  <c r="CM105" i="8" s="1"/>
  <c r="BA75" i="8"/>
  <c r="CI73" i="8"/>
  <c r="BV73" i="8"/>
  <c r="BW43" i="8"/>
  <c r="BW68" i="8" s="1"/>
  <c r="AZ103" i="8"/>
  <c r="CD103" i="8" s="1"/>
  <c r="BX103" i="8"/>
  <c r="AZ134" i="8"/>
  <c r="CD134" i="8" s="1"/>
  <c r="BU134" i="8"/>
  <c r="CE134" i="8" s="1"/>
  <c r="BX134" i="8"/>
  <c r="CI163" i="8"/>
  <c r="CI164" i="8"/>
  <c r="BV194" i="8"/>
  <c r="CO194" i="8" s="1"/>
  <c r="BB193" i="8"/>
  <c r="CF193" i="8" s="1"/>
  <c r="CI255" i="8"/>
  <c r="BV254" i="8"/>
  <c r="CO254" i="8" s="1"/>
  <c r="BT254" i="8"/>
  <c r="CD254" i="8" s="1"/>
  <c r="BB253" i="8"/>
  <c r="CF253" i="8" s="1"/>
  <c r="CC255" i="8"/>
  <c r="BW253" i="8"/>
  <c r="BA253" i="8"/>
  <c r="CE253" i="8" s="1"/>
  <c r="BY253" i="8"/>
  <c r="CC284" i="8"/>
  <c r="CD286" i="8"/>
  <c r="BU285" i="8"/>
  <c r="BW284" i="8"/>
  <c r="CC285" i="8"/>
  <c r="AZ284" i="8"/>
  <c r="BX284" i="8"/>
  <c r="CI283" i="8"/>
  <c r="BV285" i="8"/>
  <c r="CO285" i="8" s="1"/>
  <c r="BU284" i="8"/>
  <c r="BW285" i="8"/>
  <c r="AZ285" i="8"/>
  <c r="CD285" i="8" s="1"/>
  <c r="BT284" i="8"/>
  <c r="BA285" i="8"/>
  <c r="BB285" i="8"/>
  <c r="BY225" i="8"/>
  <c r="BU225" i="8"/>
  <c r="BT223" i="8"/>
  <c r="BA193" i="8"/>
  <c r="CE193" i="8" s="1"/>
  <c r="AZ193" i="8"/>
  <c r="CD193" i="8" s="1"/>
  <c r="BA194" i="8"/>
  <c r="CE194" i="8" s="1"/>
  <c r="CC193" i="8"/>
  <c r="BW193" i="8"/>
  <c r="BZ165" i="8"/>
  <c r="BU165" i="8"/>
  <c r="CE165" i="8" s="1"/>
  <c r="BV165" i="8"/>
  <c r="CF165" i="8" s="1"/>
  <c r="BB163" i="8"/>
  <c r="BA164" i="8"/>
  <c r="AZ164" i="8"/>
  <c r="CD164" i="8" s="1"/>
  <c r="BX165" i="8"/>
  <c r="CC165" i="8"/>
  <c r="BW133" i="8"/>
  <c r="CI135" i="8"/>
  <c r="BB135" i="8"/>
  <c r="CM135" i="8" s="1"/>
  <c r="BX135" i="8"/>
  <c r="BB75" i="8"/>
  <c r="CC75" i="8"/>
  <c r="BA43" i="8"/>
  <c r="CE43" i="8" s="1"/>
  <c r="BB134" i="8"/>
  <c r="CM134" i="8" s="1"/>
  <c r="BB45" i="8"/>
  <c r="CM45" i="8" s="1"/>
  <c r="BT195" i="8"/>
  <c r="CD208" i="8"/>
  <c r="BA45" i="8"/>
  <c r="BW134" i="8"/>
  <c r="CD183" i="8"/>
  <c r="BX195" i="8"/>
  <c r="BA284" i="8"/>
  <c r="AZ225" i="8"/>
  <c r="CD225" i="8" s="1"/>
  <c r="CD187" i="8"/>
  <c r="CE300" i="8"/>
  <c r="BA225" i="8"/>
  <c r="CE79" i="8"/>
  <c r="CD125" i="8"/>
  <c r="CE106" i="8"/>
  <c r="BY134" i="8"/>
  <c r="CD236" i="8"/>
  <c r="CD228" i="8"/>
  <c r="BB284" i="8"/>
  <c r="CM284" i="8" s="1"/>
  <c r="BZ134" i="8"/>
  <c r="CD65" i="8"/>
  <c r="CE65" i="8"/>
  <c r="CD266" i="8"/>
  <c r="CC74" i="8"/>
  <c r="BB225" i="8"/>
  <c r="CM225" i="8" s="1"/>
  <c r="CC163" i="8"/>
  <c r="CE62" i="8"/>
  <c r="BA163" i="8"/>
  <c r="CE163" i="8" s="1"/>
  <c r="BZ103" i="8"/>
  <c r="CD262" i="8"/>
  <c r="BV134" i="8"/>
  <c r="CO134" i="8" s="1"/>
  <c r="BX75" i="8"/>
  <c r="BY45" i="8"/>
  <c r="BV103" i="8"/>
  <c r="BU103" i="8"/>
  <c r="CE103" i="8" s="1"/>
  <c r="AZ135" i="8"/>
  <c r="CE185" i="8"/>
  <c r="BU195" i="8"/>
  <c r="CE195" i="8" s="1"/>
  <c r="BV75" i="8"/>
  <c r="BZ75" i="8"/>
  <c r="BA74" i="8"/>
  <c r="BW163" i="8"/>
  <c r="CC195" i="8"/>
  <c r="CC283" i="8"/>
  <c r="CC225" i="8"/>
  <c r="BY74" i="8"/>
  <c r="CE142" i="8"/>
  <c r="CE67" i="8"/>
  <c r="AZ45" i="8"/>
  <c r="CC45" i="8"/>
  <c r="AZ104" i="8"/>
  <c r="CE140" i="8"/>
  <c r="BA135" i="8"/>
  <c r="BX164" i="8"/>
  <c r="BV195" i="8"/>
  <c r="CD242" i="8"/>
  <c r="BV225" i="8"/>
  <c r="CE227" i="8"/>
  <c r="CC104" i="8"/>
  <c r="BV283" i="8"/>
  <c r="BU75" i="8"/>
  <c r="CE303" i="8"/>
  <c r="CD54" i="8"/>
  <c r="BB73" i="8"/>
  <c r="BT45" i="8"/>
  <c r="CE105" i="8"/>
  <c r="AZ224" i="8"/>
  <c r="CD224" i="8" s="1"/>
  <c r="BX45" i="8"/>
  <c r="CC103" i="8"/>
  <c r="CE242" i="8"/>
  <c r="CE235" i="8"/>
  <c r="CD232" i="8"/>
  <c r="CD270" i="8"/>
  <c r="CE291" i="8"/>
  <c r="CC73" i="8"/>
  <c r="AZ73" i="8"/>
  <c r="CD73" i="8" s="1"/>
  <c r="BB103" i="8"/>
  <c r="BC103" i="8"/>
  <c r="CI103" i="8" s="1"/>
  <c r="BA224" i="8"/>
  <c r="CE224" i="8" s="1"/>
  <c r="CD147" i="8"/>
  <c r="BU45" i="8"/>
  <c r="CD81" i="8"/>
  <c r="AZ163" i="8"/>
  <c r="CD163" i="8" s="1"/>
  <c r="BW224" i="8"/>
  <c r="BB224" i="8"/>
  <c r="CM224" i="8" s="1"/>
  <c r="BA73" i="8"/>
  <c r="CE73" i="8" s="1"/>
  <c r="BW73" i="8"/>
  <c r="BW98" i="8" s="1"/>
  <c r="BY73" i="8"/>
  <c r="BB74" i="8"/>
  <c r="CF74" i="8" s="1"/>
  <c r="AZ74" i="8"/>
  <c r="CD74" i="8" s="1"/>
  <c r="BV45" i="8"/>
  <c r="AZ43" i="8"/>
  <c r="BY43" i="8"/>
  <c r="CE144" i="8"/>
  <c r="BU223" i="8"/>
  <c r="BX223" i="8"/>
  <c r="CD67" i="8"/>
  <c r="CE84" i="8"/>
  <c r="CD144" i="8"/>
  <c r="CD140" i="8"/>
  <c r="CE181" i="8"/>
  <c r="BV223" i="8"/>
  <c r="CF223" i="8" s="1"/>
  <c r="CD295" i="8"/>
  <c r="CE297" i="8"/>
  <c r="CD142" i="8"/>
  <c r="CE295" i="8"/>
  <c r="CE53" i="8"/>
  <c r="CD170" i="8"/>
  <c r="CE269" i="8"/>
  <c r="CE262" i="8"/>
  <c r="CC135" i="8"/>
  <c r="CD84" i="8"/>
  <c r="CD136" i="8"/>
  <c r="CD178" i="8"/>
  <c r="CE229" i="8"/>
  <c r="CE292" i="8"/>
  <c r="AZ194" i="8"/>
  <c r="CD157" i="8"/>
  <c r="CE267" i="8"/>
  <c r="CD298" i="8"/>
  <c r="BB194" i="8"/>
  <c r="CM194" i="8" s="1"/>
  <c r="CD77" i="8"/>
  <c r="CD263" i="8"/>
  <c r="CE51" i="8"/>
  <c r="CE81" i="8"/>
  <c r="CE157" i="8"/>
  <c r="CD148" i="8"/>
  <c r="CD165" i="8"/>
  <c r="CD211" i="8"/>
  <c r="CE270" i="8"/>
  <c r="CD296" i="8"/>
  <c r="CE294" i="8"/>
  <c r="CC164" i="8"/>
  <c r="CC194" i="8"/>
  <c r="BT135" i="8"/>
  <c r="CE47" i="8"/>
  <c r="CE265" i="8"/>
  <c r="BV135" i="8"/>
  <c r="CE226" i="8"/>
  <c r="CD226" i="8"/>
  <c r="CD56" i="8"/>
  <c r="CD172" i="8"/>
  <c r="CE136" i="8"/>
  <c r="CD143" i="8"/>
  <c r="CD137" i="8"/>
  <c r="BV164" i="8"/>
  <c r="CO164" i="8" s="1"/>
  <c r="CD297" i="8"/>
  <c r="CC223" i="8"/>
  <c r="CE146" i="8"/>
  <c r="BU164" i="8"/>
  <c r="CD50" i="8"/>
  <c r="CD138" i="8"/>
  <c r="BZ164" i="8"/>
  <c r="CD231" i="8"/>
  <c r="CD289" i="8"/>
  <c r="BU135" i="8"/>
  <c r="CE58" i="8"/>
  <c r="CE263" i="8"/>
  <c r="CM255" i="8"/>
  <c r="CM254" i="8"/>
  <c r="CE133" i="8"/>
  <c r="CM75" i="8"/>
  <c r="CM74" i="8"/>
  <c r="CE293" i="8"/>
  <c r="CE290" i="8"/>
  <c r="CE296" i="8"/>
  <c r="CD292" i="8"/>
  <c r="CD293" i="8"/>
  <c r="CE289" i="8"/>
  <c r="CD290" i="8"/>
  <c r="CD294" i="8"/>
  <c r="CE298" i="8"/>
  <c r="CD255" i="8"/>
  <c r="CD253" i="8"/>
  <c r="CD261" i="8"/>
  <c r="CE264" i="8"/>
  <c r="CD257" i="8"/>
  <c r="CE261" i="8"/>
  <c r="CE257" i="8"/>
  <c r="CD264" i="8"/>
  <c r="CE231" i="8"/>
  <c r="CD229" i="8"/>
  <c r="CE236" i="8"/>
  <c r="CE232" i="8"/>
  <c r="CE230" i="8"/>
  <c r="CD235" i="8"/>
  <c r="CD230" i="8"/>
  <c r="CE168" i="8"/>
  <c r="CE171" i="8"/>
  <c r="CE167" i="8"/>
  <c r="CD171" i="8"/>
  <c r="CD168" i="8"/>
  <c r="CD167" i="8"/>
  <c r="CE155" i="8"/>
  <c r="CE143" i="8"/>
  <c r="CE148" i="8"/>
  <c r="CD155" i="8"/>
  <c r="CD146" i="8"/>
  <c r="CE137" i="8"/>
  <c r="CM44" i="8"/>
  <c r="CF44" i="8"/>
  <c r="CE56" i="8"/>
  <c r="CE57" i="8"/>
  <c r="CE49" i="8"/>
  <c r="CD47" i="8"/>
  <c r="CD58" i="8"/>
  <c r="CE50" i="8"/>
  <c r="CD53" i="8"/>
  <c r="CD49" i="8"/>
  <c r="CD57" i="8"/>
  <c r="CE104" i="8" l="1"/>
  <c r="CF43" i="8"/>
  <c r="CF283" i="8"/>
  <c r="CF163" i="8"/>
  <c r="CE74" i="8"/>
  <c r="CE44" i="8"/>
  <c r="CD195" i="8"/>
  <c r="CD104" i="8"/>
  <c r="CD223" i="8"/>
  <c r="CE223" i="8"/>
  <c r="CD43" i="8"/>
  <c r="CF195" i="8"/>
  <c r="CM104" i="8"/>
  <c r="CF45" i="8"/>
  <c r="CF254" i="8"/>
  <c r="CD194" i="8"/>
  <c r="CF135" i="8"/>
  <c r="CE75" i="8"/>
  <c r="CF73" i="8"/>
  <c r="CG68" i="8"/>
  <c r="H25" i="10" s="1"/>
  <c r="I25" i="10" s="1"/>
  <c r="J25" i="10" s="1"/>
  <c r="CE225" i="8"/>
  <c r="CE135" i="8"/>
  <c r="CD45" i="8"/>
  <c r="CH68" i="8"/>
  <c r="CE45" i="8"/>
  <c r="CF75" i="8"/>
  <c r="CF285" i="8"/>
  <c r="CE285" i="8"/>
  <c r="CM285" i="8"/>
  <c r="CD284" i="8"/>
  <c r="CE284" i="8"/>
  <c r="CF225" i="8"/>
  <c r="CE164" i="8"/>
  <c r="CF134" i="8"/>
  <c r="CF103" i="8"/>
  <c r="CF284" i="8"/>
  <c r="CF224" i="8"/>
  <c r="CD135" i="8"/>
  <c r="CF194" i="8"/>
  <c r="CF164" i="8"/>
  <c r="S464" i="27"/>
  <c r="S463" i="27"/>
  <c r="S461" i="27"/>
  <c r="S460" i="27"/>
  <c r="S459" i="27"/>
  <c r="S458" i="27"/>
  <c r="S457" i="27"/>
  <c r="S345" i="27"/>
  <c r="S344" i="27"/>
  <c r="S255" i="27"/>
  <c r="S254" i="27"/>
  <c r="S252" i="27"/>
  <c r="S251" i="27"/>
  <c r="S250" i="27"/>
  <c r="S249" i="27"/>
  <c r="S248" i="27"/>
  <c r="S92" i="27"/>
  <c r="S91" i="27"/>
  <c r="S90" i="27"/>
  <c r="S89" i="27"/>
  <c r="S88" i="27"/>
  <c r="Q501" i="27"/>
  <c r="Q500" i="27"/>
  <c r="Q499" i="27"/>
  <c r="Q498" i="27"/>
  <c r="Q497" i="27"/>
  <c r="Q496" i="27"/>
  <c r="Q495" i="27"/>
  <c r="Q494" i="27"/>
  <c r="Q493" i="27"/>
  <c r="Q492" i="27"/>
  <c r="Q491" i="27"/>
  <c r="Q490" i="27"/>
  <c r="Q489" i="27"/>
  <c r="Q488" i="27"/>
  <c r="Q487" i="27"/>
  <c r="Q486" i="27"/>
  <c r="Q485" i="27"/>
  <c r="Q484" i="27"/>
  <c r="Q483" i="27"/>
  <c r="Q482" i="27"/>
  <c r="Q481" i="27"/>
  <c r="Q480" i="27"/>
  <c r="Q479" i="27"/>
  <c r="Q478" i="27"/>
  <c r="Q477" i="27"/>
  <c r="Q476" i="27"/>
  <c r="Q475" i="27"/>
  <c r="Q474" i="27"/>
  <c r="Q473" i="27"/>
  <c r="Q472" i="27"/>
  <c r="Q471" i="27"/>
  <c r="Q470" i="27"/>
  <c r="Q469" i="27"/>
  <c r="Q468" i="27"/>
  <c r="Q467" i="27"/>
  <c r="Q466" i="27"/>
  <c r="Q465" i="27"/>
  <c r="Q464" i="27"/>
  <c r="Q463" i="27"/>
  <c r="Q462" i="27"/>
  <c r="Q461" i="27"/>
  <c r="Q460" i="27"/>
  <c r="Q459" i="27"/>
  <c r="Q458" i="27"/>
  <c r="Q457" i="27"/>
  <c r="Q456" i="27"/>
  <c r="Q455" i="27"/>
  <c r="Q454" i="27"/>
  <c r="Q453" i="27"/>
  <c r="Q452" i="27"/>
  <c r="Q451" i="27"/>
  <c r="Q450" i="27"/>
  <c r="Q449" i="27"/>
  <c r="Q448" i="27"/>
  <c r="Q447" i="27"/>
  <c r="Q446" i="27"/>
  <c r="Q445" i="27"/>
  <c r="Q444" i="27"/>
  <c r="Q443" i="27"/>
  <c r="Q442" i="27"/>
  <c r="Q441" i="27"/>
  <c r="Q440" i="27"/>
  <c r="Q439" i="27"/>
  <c r="Q438" i="27"/>
  <c r="Q437" i="27"/>
  <c r="Q436" i="27"/>
  <c r="Q435" i="27"/>
  <c r="Q434" i="27"/>
  <c r="Q433" i="27"/>
  <c r="Q432" i="27"/>
  <c r="Q431" i="27"/>
  <c r="Q430" i="27"/>
  <c r="Q429" i="27"/>
  <c r="Q428" i="27"/>
  <c r="Q427" i="27"/>
  <c r="Q426" i="27"/>
  <c r="Q425" i="27"/>
  <c r="Q424" i="27"/>
  <c r="Q423" i="27"/>
  <c r="Q422" i="27"/>
  <c r="Q421" i="27"/>
  <c r="Q420" i="27"/>
  <c r="Q419" i="27"/>
  <c r="Q418" i="27"/>
  <c r="Q417" i="27"/>
  <c r="Q416" i="27"/>
  <c r="Q415" i="27"/>
  <c r="Q414" i="27"/>
  <c r="Q413" i="27"/>
  <c r="Q412" i="27"/>
  <c r="Q411" i="27"/>
  <c r="Q410" i="27"/>
  <c r="Q409" i="27"/>
  <c r="Q408" i="27"/>
  <c r="Q407" i="27"/>
  <c r="Q406" i="27"/>
  <c r="Q405" i="27"/>
  <c r="Q404" i="27"/>
  <c r="Q403" i="27"/>
  <c r="Q402" i="27"/>
  <c r="Q401" i="27"/>
  <c r="Q400" i="27"/>
  <c r="Q399" i="27"/>
  <c r="Q398" i="27"/>
  <c r="Q397" i="27"/>
  <c r="Q396" i="27"/>
  <c r="Q395" i="27"/>
  <c r="Q394" i="27"/>
  <c r="Q393" i="27"/>
  <c r="Q392" i="27"/>
  <c r="Q391" i="27"/>
  <c r="Q390" i="27"/>
  <c r="Q389" i="27"/>
  <c r="Q388" i="27"/>
  <c r="Q387" i="27"/>
  <c r="Q386" i="27"/>
  <c r="Q385" i="27"/>
  <c r="Q384" i="27"/>
  <c r="Q383" i="27"/>
  <c r="Q382" i="27"/>
  <c r="Q381" i="27"/>
  <c r="Q380" i="27"/>
  <c r="Q379" i="27"/>
  <c r="Q378" i="27"/>
  <c r="Q377" i="27"/>
  <c r="Q376" i="27"/>
  <c r="Q375" i="27"/>
  <c r="Q374" i="27"/>
  <c r="Q373" i="27"/>
  <c r="Q372" i="27"/>
  <c r="Q371" i="27"/>
  <c r="Q370" i="27"/>
  <c r="Q369" i="27"/>
  <c r="Q368" i="27"/>
  <c r="Q367" i="27"/>
  <c r="Q366" i="27"/>
  <c r="Q365" i="27"/>
  <c r="Q364" i="27"/>
  <c r="Q363" i="27"/>
  <c r="Q362" i="27"/>
  <c r="Q361" i="27"/>
  <c r="Q360" i="27"/>
  <c r="Q359" i="27"/>
  <c r="Q358" i="27"/>
  <c r="Q357" i="27"/>
  <c r="Q356" i="27"/>
  <c r="Q355" i="27"/>
  <c r="Q354" i="27"/>
  <c r="Q353" i="27"/>
  <c r="Q352" i="27"/>
  <c r="Q351" i="27"/>
  <c r="Q350" i="27"/>
  <c r="Q349" i="27"/>
  <c r="Q348" i="27"/>
  <c r="Q347" i="27"/>
  <c r="Q346" i="27"/>
  <c r="Q345" i="27"/>
  <c r="Q344" i="27"/>
  <c r="Q343" i="27"/>
  <c r="Q342" i="27"/>
  <c r="Q341" i="27"/>
  <c r="Q340" i="27"/>
  <c r="Q339" i="27"/>
  <c r="Q338" i="27"/>
  <c r="Q337" i="27"/>
  <c r="Q336" i="27"/>
  <c r="Q335" i="27"/>
  <c r="Q334" i="27"/>
  <c r="Q333" i="27"/>
  <c r="Q332" i="27"/>
  <c r="Q331" i="27"/>
  <c r="Q330" i="27"/>
  <c r="Q329" i="27"/>
  <c r="Q328" i="27"/>
  <c r="Q327" i="27"/>
  <c r="Q326" i="27"/>
  <c r="Q325" i="27"/>
  <c r="Q324" i="27"/>
  <c r="Q323" i="27"/>
  <c r="Q322" i="27"/>
  <c r="Q321" i="27"/>
  <c r="Q320" i="27"/>
  <c r="Q319" i="27"/>
  <c r="Q316" i="27"/>
  <c r="Q315" i="27"/>
  <c r="Q314" i="27"/>
  <c r="Q313" i="27"/>
  <c r="Q312" i="27"/>
  <c r="Q311" i="27"/>
  <c r="Q310" i="27"/>
  <c r="Q309" i="27"/>
  <c r="Q306" i="27"/>
  <c r="Q305" i="27"/>
  <c r="Q304" i="27"/>
  <c r="Q303" i="27"/>
  <c r="Q302" i="27"/>
  <c r="Q301" i="27"/>
  <c r="Q300" i="27"/>
  <c r="Q299" i="27"/>
  <c r="Q298" i="27"/>
  <c r="Q297" i="27"/>
  <c r="Q296" i="27"/>
  <c r="Q295" i="27"/>
  <c r="Q294" i="27"/>
  <c r="Q293" i="27"/>
  <c r="Q292" i="27"/>
  <c r="Q291" i="27"/>
  <c r="Q290" i="27"/>
  <c r="Q289" i="27"/>
  <c r="Q288" i="27"/>
  <c r="Q287" i="27"/>
  <c r="Q286" i="27"/>
  <c r="Q285" i="27"/>
  <c r="Q284" i="27"/>
  <c r="Q283" i="27"/>
  <c r="Q282" i="27"/>
  <c r="Q281" i="27"/>
  <c r="Q280" i="27"/>
  <c r="Q279" i="27"/>
  <c r="Q278" i="27"/>
  <c r="Q277" i="27"/>
  <c r="Q276" i="27"/>
  <c r="Q275" i="27"/>
  <c r="Q274" i="27"/>
  <c r="Q273" i="27"/>
  <c r="Q272" i="27"/>
  <c r="Q271" i="27"/>
  <c r="Q270" i="27"/>
  <c r="Q269" i="27"/>
  <c r="Q268" i="27"/>
  <c r="Q267" i="27"/>
  <c r="Q266" i="27"/>
  <c r="Q265" i="27"/>
  <c r="Q264" i="27"/>
  <c r="Q263" i="27"/>
  <c r="Q262" i="27"/>
  <c r="Q261" i="27"/>
  <c r="Q260" i="27"/>
  <c r="Q259" i="27"/>
  <c r="Q258" i="27"/>
  <c r="Q257" i="27"/>
  <c r="Q256" i="27"/>
  <c r="Q255" i="27"/>
  <c r="Q254" i="27"/>
  <c r="Q253" i="27"/>
  <c r="Q252" i="27"/>
  <c r="Q251" i="27"/>
  <c r="Q249" i="27"/>
  <c r="Q248" i="27"/>
  <c r="Q247" i="27"/>
  <c r="Q246" i="27"/>
  <c r="Q245" i="27"/>
  <c r="Q244" i="27"/>
  <c r="Q243" i="27"/>
  <c r="Q242" i="27"/>
  <c r="Q241" i="27"/>
  <c r="Q240" i="27"/>
  <c r="Q239" i="27"/>
  <c r="Q238" i="27"/>
  <c r="Q237" i="27"/>
  <c r="Q236" i="27"/>
  <c r="Q235" i="27"/>
  <c r="Q234" i="27"/>
  <c r="Q233" i="27"/>
  <c r="Q232" i="27"/>
  <c r="Q231" i="27"/>
  <c r="Q230" i="27"/>
  <c r="Q229" i="27"/>
  <c r="Q228" i="27"/>
  <c r="Q227" i="27"/>
  <c r="Q226" i="27"/>
  <c r="Q225" i="27"/>
  <c r="Q224" i="27"/>
  <c r="Q223" i="27"/>
  <c r="Q222" i="27"/>
  <c r="Q221" i="27"/>
  <c r="Q220" i="27"/>
  <c r="Q219" i="27"/>
  <c r="Q218" i="27"/>
  <c r="Q217" i="27"/>
  <c r="Q216" i="27"/>
  <c r="Q215" i="27"/>
  <c r="Q214" i="27"/>
  <c r="Q213" i="27"/>
  <c r="Q212" i="27"/>
  <c r="Q211" i="27"/>
  <c r="Q210" i="27"/>
  <c r="Q209" i="27"/>
  <c r="Q208" i="27"/>
  <c r="Q207" i="27"/>
  <c r="Q206" i="27"/>
  <c r="Q205" i="27"/>
  <c r="Q204" i="27"/>
  <c r="Q203" i="27"/>
  <c r="Q202" i="27"/>
  <c r="Q201" i="27"/>
  <c r="Q200" i="27"/>
  <c r="Q199" i="27"/>
  <c r="Q198" i="27"/>
  <c r="Q197" i="27"/>
  <c r="Q196" i="27"/>
  <c r="Q195" i="27"/>
  <c r="Q194" i="27"/>
  <c r="Q193" i="27"/>
  <c r="Q192" i="27"/>
  <c r="Q191" i="27"/>
  <c r="Q190" i="27"/>
  <c r="Q189" i="27"/>
  <c r="Q188" i="27"/>
  <c r="Q187" i="27"/>
  <c r="Q186" i="27"/>
  <c r="Q185" i="27"/>
  <c r="Q184" i="27"/>
  <c r="Q183" i="27"/>
  <c r="Q182" i="27"/>
  <c r="Q181" i="27"/>
  <c r="Q180" i="27"/>
  <c r="Q179" i="27"/>
  <c r="Q178" i="27"/>
  <c r="Q177" i="27"/>
  <c r="Q176" i="27"/>
  <c r="Q175" i="27"/>
  <c r="Q174" i="27"/>
  <c r="Q173" i="27"/>
  <c r="Q172" i="27"/>
  <c r="Q171" i="27"/>
  <c r="Q170" i="27"/>
  <c r="Q169" i="27"/>
  <c r="Q168" i="27"/>
  <c r="Q167" i="27"/>
  <c r="Q166" i="27"/>
  <c r="Q165" i="27"/>
  <c r="Q164" i="27"/>
  <c r="Q163" i="27"/>
  <c r="Q162" i="27"/>
  <c r="Q161" i="27"/>
  <c r="Q160" i="27"/>
  <c r="Q159" i="27"/>
  <c r="Q158" i="27"/>
  <c r="Q157" i="27"/>
  <c r="Q156" i="27"/>
  <c r="Q155" i="27"/>
  <c r="Q154" i="27"/>
  <c r="Q153" i="27"/>
  <c r="Q152" i="27"/>
  <c r="Q151" i="27"/>
  <c r="Q150" i="27"/>
  <c r="Q149" i="27"/>
  <c r="Q148" i="27"/>
  <c r="Q147" i="27"/>
  <c r="Q146" i="27"/>
  <c r="Q145" i="27"/>
  <c r="Q144" i="27"/>
  <c r="Q143" i="27"/>
  <c r="Q142" i="27"/>
  <c r="Q141" i="27"/>
  <c r="Q140" i="27"/>
  <c r="Q139" i="27"/>
  <c r="Q138" i="27"/>
  <c r="Q137" i="27"/>
  <c r="Q136" i="27"/>
  <c r="Q135" i="27"/>
  <c r="Q134" i="27"/>
  <c r="Q133" i="27"/>
  <c r="Q132" i="27"/>
  <c r="Q131" i="27"/>
  <c r="Q130" i="27"/>
  <c r="Q129" i="27"/>
  <c r="Q128" i="27"/>
  <c r="Q127" i="27"/>
  <c r="Q126" i="27"/>
  <c r="Q125" i="27"/>
  <c r="Q124" i="27"/>
  <c r="Q123" i="27"/>
  <c r="Q122" i="27"/>
  <c r="Q121" i="27"/>
  <c r="Q120" i="27"/>
  <c r="Q119" i="27"/>
  <c r="Q118" i="27"/>
  <c r="Q117" i="27"/>
  <c r="Q116" i="27"/>
  <c r="Q115" i="27"/>
  <c r="Q114" i="27"/>
  <c r="Q113" i="27"/>
  <c r="Q112" i="27"/>
  <c r="Q111" i="27"/>
  <c r="Q110" i="27"/>
  <c r="Q109" i="27"/>
  <c r="Q108" i="27"/>
  <c r="Q107" i="27"/>
  <c r="Q106" i="27"/>
  <c r="Q105" i="27"/>
  <c r="Q104" i="27"/>
  <c r="Q103" i="27"/>
  <c r="Q102" i="27"/>
  <c r="Q101" i="27"/>
  <c r="Q100" i="27"/>
  <c r="Q99" i="27"/>
  <c r="Q98" i="27"/>
  <c r="Q97" i="27"/>
  <c r="Q96" i="27"/>
  <c r="Q95" i="27"/>
  <c r="Q94" i="27"/>
  <c r="Q93" i="27"/>
  <c r="Q92" i="27"/>
  <c r="Q91" i="27"/>
  <c r="Q90" i="27"/>
  <c r="Q89" i="27"/>
  <c r="Q88" i="27"/>
  <c r="Q87" i="27"/>
  <c r="Q86" i="27"/>
  <c r="Q85" i="27"/>
  <c r="Q84" i="27"/>
  <c r="Q83" i="27"/>
  <c r="Q82" i="27"/>
  <c r="Q81" i="27"/>
  <c r="Q80" i="27"/>
  <c r="Q79" i="27"/>
  <c r="Q66" i="27"/>
  <c r="Q65" i="27"/>
  <c r="Q64" i="27"/>
  <c r="Q63" i="27"/>
  <c r="Q62" i="27"/>
  <c r="Q61" i="27"/>
  <c r="Q60" i="27"/>
  <c r="Q57" i="27"/>
  <c r="Q56" i="27"/>
  <c r="Q55" i="27"/>
  <c r="Q54" i="27"/>
  <c r="Q53" i="27"/>
  <c r="Q52" i="27"/>
  <c r="Q51" i="27"/>
  <c r="Q50" i="27"/>
  <c r="Q49" i="27"/>
  <c r="Q48" i="27"/>
  <c r="Q47" i="27"/>
  <c r="Q46" i="27"/>
  <c r="Q45" i="27"/>
  <c r="Q44" i="27"/>
  <c r="Q43" i="27"/>
  <c r="Q34" i="27"/>
  <c r="Q33" i="27"/>
  <c r="Q32" i="27"/>
  <c r="Q31" i="27"/>
  <c r="Q30" i="27"/>
  <c r="Q29" i="27"/>
  <c r="H27" i="10" l="1"/>
  <c r="I27" i="10" s="1"/>
  <c r="J27" i="10" s="1"/>
  <c r="R501" i="27"/>
  <c r="R500" i="27" s="1"/>
  <c r="R499" i="27" s="1"/>
  <c r="R498" i="27" s="1"/>
  <c r="R497" i="27" s="1"/>
  <c r="R496" i="27" s="1"/>
  <c r="R495" i="27" s="1"/>
  <c r="R494" i="27" s="1"/>
  <c r="R493" i="27" s="1"/>
  <c r="R492" i="27" s="1"/>
  <c r="R491" i="27" s="1"/>
  <c r="R490" i="27" s="1"/>
  <c r="R489" i="27" s="1"/>
  <c r="R488" i="27" s="1"/>
  <c r="R487" i="27" s="1"/>
  <c r="R486" i="27" s="1"/>
  <c r="R485" i="27" s="1"/>
  <c r="R484" i="27" s="1"/>
  <c r="R483" i="27" s="1"/>
  <c r="R482" i="27" s="1"/>
  <c r="R481" i="27" s="1"/>
  <c r="R480" i="27" s="1"/>
  <c r="R479" i="27" s="1"/>
  <c r="R478" i="27" s="1"/>
  <c r="R477" i="27" s="1"/>
  <c r="R476" i="27" s="1"/>
  <c r="R475" i="27" s="1"/>
  <c r="R474" i="27" s="1"/>
  <c r="R473" i="27" s="1"/>
  <c r="R472" i="27" s="1"/>
  <c r="R471" i="27" s="1"/>
  <c r="R470" i="27" s="1"/>
  <c r="R469" i="27" s="1"/>
  <c r="R468" i="27" s="1"/>
  <c r="R467" i="27" s="1"/>
  <c r="R466" i="27" s="1"/>
  <c r="R465" i="27" s="1"/>
  <c r="R464" i="27"/>
  <c r="R463" i="27"/>
  <c r="R462" i="27" s="1"/>
  <c r="R461" i="27"/>
  <c r="R460" i="27"/>
  <c r="R459" i="27"/>
  <c r="R458" i="27"/>
  <c r="R457" i="27"/>
  <c r="R456" i="27" s="1"/>
  <c r="R455" i="27" s="1"/>
  <c r="R454" i="27" s="1"/>
  <c r="R453" i="27" s="1"/>
  <c r="R452" i="27" s="1"/>
  <c r="R451" i="27" s="1"/>
  <c r="R450" i="27" s="1"/>
  <c r="R449" i="27" s="1"/>
  <c r="R448" i="27" s="1"/>
  <c r="R447" i="27" s="1"/>
  <c r="R446" i="27" s="1"/>
  <c r="R445" i="27" s="1"/>
  <c r="R444" i="27" s="1"/>
  <c r="R443" i="27" s="1"/>
  <c r="R442" i="27" s="1"/>
  <c r="R441" i="27" s="1"/>
  <c r="R440" i="27" s="1"/>
  <c r="R439" i="27" s="1"/>
  <c r="R438" i="27" s="1"/>
  <c r="R437" i="27" s="1"/>
  <c r="R436" i="27" s="1"/>
  <c r="R435" i="27" s="1"/>
  <c r="R434" i="27" s="1"/>
  <c r="R433" i="27" s="1"/>
  <c r="R432" i="27" s="1"/>
  <c r="R431" i="27" s="1"/>
  <c r="R430" i="27" s="1"/>
  <c r="R429" i="27" s="1"/>
  <c r="R428" i="27" s="1"/>
  <c r="R427" i="27" s="1"/>
  <c r="R426" i="27" s="1"/>
  <c r="R425" i="27" s="1"/>
  <c r="R424" i="27" s="1"/>
  <c r="R423" i="27" s="1"/>
  <c r="R422" i="27" s="1"/>
  <c r="R421" i="27" s="1"/>
  <c r="R420" i="27" s="1"/>
  <c r="R419" i="27" s="1"/>
  <c r="R418" i="27" s="1"/>
  <c r="R417" i="27" s="1"/>
  <c r="R416" i="27" s="1"/>
  <c r="R415" i="27" s="1"/>
  <c r="R414" i="27" s="1"/>
  <c r="R413" i="27" s="1"/>
  <c r="R412" i="27" s="1"/>
  <c r="R411" i="27" s="1"/>
  <c r="R410" i="27" s="1"/>
  <c r="R409" i="27" s="1"/>
  <c r="R408" i="27" s="1"/>
  <c r="R407" i="27" s="1"/>
  <c r="R406" i="27" s="1"/>
  <c r="R405" i="27" s="1"/>
  <c r="R404" i="27" s="1"/>
  <c r="R403" i="27" s="1"/>
  <c r="R402" i="27" s="1"/>
  <c r="R401" i="27" s="1"/>
  <c r="R400" i="27" s="1"/>
  <c r="R399" i="27" s="1"/>
  <c r="R398" i="27" s="1"/>
  <c r="R397" i="27" s="1"/>
  <c r="R396" i="27" s="1"/>
  <c r="R395" i="27" s="1"/>
  <c r="R394" i="27" s="1"/>
  <c r="R393" i="27" s="1"/>
  <c r="R392" i="27" s="1"/>
  <c r="R391" i="27" s="1"/>
  <c r="R390" i="27" s="1"/>
  <c r="R389" i="27" s="1"/>
  <c r="R388" i="27" s="1"/>
  <c r="R387" i="27" s="1"/>
  <c r="R386" i="27" s="1"/>
  <c r="R385" i="27" s="1"/>
  <c r="R384" i="27" s="1"/>
  <c r="R383" i="27" s="1"/>
  <c r="R382" i="27" s="1"/>
  <c r="R381" i="27" s="1"/>
  <c r="R380" i="27" s="1"/>
  <c r="R379" i="27" s="1"/>
  <c r="R378" i="27" s="1"/>
  <c r="R377" i="27" s="1"/>
  <c r="R376" i="27" s="1"/>
  <c r="R375" i="27" s="1"/>
  <c r="R374" i="27" s="1"/>
  <c r="R373" i="27" s="1"/>
  <c r="R372" i="27" s="1"/>
  <c r="R371" i="27" s="1"/>
  <c r="R370" i="27" s="1"/>
  <c r="R369" i="27" s="1"/>
  <c r="R368" i="27" s="1"/>
  <c r="R367" i="27" s="1"/>
  <c r="R366" i="27" s="1"/>
  <c r="R365" i="27" s="1"/>
  <c r="R364" i="27" s="1"/>
  <c r="R363" i="27" s="1"/>
  <c r="R362" i="27" s="1"/>
  <c r="R361" i="27" s="1"/>
  <c r="R360" i="27" s="1"/>
  <c r="R359" i="27" s="1"/>
  <c r="R358" i="27" s="1"/>
  <c r="R357" i="27" s="1"/>
  <c r="R356" i="27" s="1"/>
  <c r="R355" i="27" s="1"/>
  <c r="R354" i="27" s="1"/>
  <c r="R353" i="27" s="1"/>
  <c r="R352" i="27" s="1"/>
  <c r="R351" i="27" s="1"/>
  <c r="R350" i="27" s="1"/>
  <c r="R349" i="27" s="1"/>
  <c r="R348" i="27" s="1"/>
  <c r="R347" i="27" s="1"/>
  <c r="R346" i="27" s="1"/>
  <c r="R345" i="27"/>
  <c r="R344" i="27"/>
  <c r="R343" i="27" s="1"/>
  <c r="R342" i="27" s="1"/>
  <c r="R341" i="27" s="1"/>
  <c r="R340" i="27" s="1"/>
  <c r="R339" i="27" s="1"/>
  <c r="R338" i="27" s="1"/>
  <c r="R337" i="27" s="1"/>
  <c r="R336" i="27" s="1"/>
  <c r="R335" i="27" s="1"/>
  <c r="R334" i="27" s="1"/>
  <c r="R333" i="27" s="1"/>
  <c r="R332" i="27" s="1"/>
  <c r="R331" i="27" s="1"/>
  <c r="R330" i="27" s="1"/>
  <c r="R329" i="27" s="1"/>
  <c r="R328" i="27" s="1"/>
  <c r="R327" i="27" s="1"/>
  <c r="R326" i="27" s="1"/>
  <c r="R325" i="27" s="1"/>
  <c r="R324" i="27" s="1"/>
  <c r="R323" i="27" s="1"/>
  <c r="R322" i="27" s="1"/>
  <c r="R321" i="27" s="1"/>
  <c r="R320" i="27" s="1"/>
  <c r="R319" i="27" s="1"/>
  <c r="R318" i="27" s="1"/>
  <c r="R317" i="27" s="1"/>
  <c r="R316" i="27" s="1"/>
  <c r="R315" i="27" s="1"/>
  <c r="R314" i="27" s="1"/>
  <c r="R313" i="27" s="1"/>
  <c r="R312" i="27" s="1"/>
  <c r="R311" i="27" s="1"/>
  <c r="R310" i="27" s="1"/>
  <c r="R309" i="27" s="1"/>
  <c r="R308" i="27" s="1"/>
  <c r="R307" i="27" s="1"/>
  <c r="R306" i="27" s="1"/>
  <c r="R305" i="27" s="1"/>
  <c r="R304" i="27" s="1"/>
  <c r="R303" i="27" s="1"/>
  <c r="R302" i="27" s="1"/>
  <c r="R301" i="27" s="1"/>
  <c r="R300" i="27" s="1"/>
  <c r="R299" i="27" s="1"/>
  <c r="R298" i="27" s="1"/>
  <c r="R297" i="27" s="1"/>
  <c r="R296" i="27" s="1"/>
  <c r="R295" i="27" s="1"/>
  <c r="R294" i="27" s="1"/>
  <c r="R293" i="27" s="1"/>
  <c r="R292" i="27" s="1"/>
  <c r="R291" i="27" s="1"/>
  <c r="R290" i="27" s="1"/>
  <c r="R289" i="27" s="1"/>
  <c r="R288" i="27" s="1"/>
  <c r="R287" i="27" s="1"/>
  <c r="R286" i="27" s="1"/>
  <c r="R285" i="27" s="1"/>
  <c r="R284" i="27" s="1"/>
  <c r="R283" i="27" s="1"/>
  <c r="R282" i="27" s="1"/>
  <c r="R281" i="27" s="1"/>
  <c r="R280" i="27" s="1"/>
  <c r="R279" i="27" s="1"/>
  <c r="R278" i="27" s="1"/>
  <c r="R277" i="27" s="1"/>
  <c r="R276" i="27" s="1"/>
  <c r="R275" i="27" s="1"/>
  <c r="R274" i="27" s="1"/>
  <c r="R273" i="27" s="1"/>
  <c r="R272" i="27" s="1"/>
  <c r="R271" i="27" s="1"/>
  <c r="R270" i="27" s="1"/>
  <c r="R269" i="27" s="1"/>
  <c r="R268" i="27" s="1"/>
  <c r="R267" i="27" s="1"/>
  <c r="R266" i="27" s="1"/>
  <c r="R265" i="27" s="1"/>
  <c r="R264" i="27" s="1"/>
  <c r="R263" i="27" s="1"/>
  <c r="R262" i="27" s="1"/>
  <c r="R261" i="27" s="1"/>
  <c r="R260" i="27" s="1"/>
  <c r="R259" i="27" s="1"/>
  <c r="R258" i="27" s="1"/>
  <c r="R257" i="27" s="1"/>
  <c r="R256" i="27" s="1"/>
  <c r="R255" i="27"/>
  <c r="R254" i="27"/>
  <c r="R253" i="27" s="1"/>
  <c r="R252" i="27"/>
  <c r="R251" i="27"/>
  <c r="R250" i="27"/>
  <c r="R249" i="27"/>
  <c r="R248" i="27"/>
  <c r="R247" i="27" s="1"/>
  <c r="R246" i="27" s="1"/>
  <c r="R245" i="27" s="1"/>
  <c r="R244" i="27" s="1"/>
  <c r="R243" i="27"/>
  <c r="R242" i="27" s="1"/>
  <c r="R241" i="27" s="1"/>
  <c r="R240" i="27" s="1"/>
  <c r="R239" i="27" s="1"/>
  <c r="R238" i="27" s="1"/>
  <c r="R237" i="27" s="1"/>
  <c r="R236" i="27" s="1"/>
  <c r="R235" i="27" s="1"/>
  <c r="R234" i="27" s="1"/>
  <c r="R233" i="27" s="1"/>
  <c r="R232" i="27" s="1"/>
  <c r="R231" i="27" s="1"/>
  <c r="R230" i="27" s="1"/>
  <c r="R229" i="27" s="1"/>
  <c r="R228" i="27" s="1"/>
  <c r="R227" i="27" s="1"/>
  <c r="R226" i="27" s="1"/>
  <c r="R225" i="27" s="1"/>
  <c r="R224" i="27" s="1"/>
  <c r="R223" i="27" s="1"/>
  <c r="R222" i="27" s="1"/>
  <c r="R221" i="27" s="1"/>
  <c r="R220" i="27" s="1"/>
  <c r="R219" i="27" s="1"/>
  <c r="R218" i="27" s="1"/>
  <c r="R217" i="27" s="1"/>
  <c r="R216" i="27" s="1"/>
  <c r="R215" i="27" s="1"/>
  <c r="R214" i="27" s="1"/>
  <c r="R213" i="27" s="1"/>
  <c r="R212" i="27" s="1"/>
  <c r="R211" i="27" s="1"/>
  <c r="R210" i="27" s="1"/>
  <c r="R209" i="27" s="1"/>
  <c r="R208" i="27" s="1"/>
  <c r="R207" i="27" s="1"/>
  <c r="R206" i="27" s="1"/>
  <c r="R205" i="27" s="1"/>
  <c r="R204" i="27" s="1"/>
  <c r="R203" i="27" s="1"/>
  <c r="R202" i="27" s="1"/>
  <c r="R201" i="27" s="1"/>
  <c r="R200" i="27" s="1"/>
  <c r="R199" i="27" s="1"/>
  <c r="R198" i="27" s="1"/>
  <c r="R197" i="27" s="1"/>
  <c r="R196" i="27" s="1"/>
  <c r="R195" i="27" s="1"/>
  <c r="R194" i="27" s="1"/>
  <c r="R193" i="27" s="1"/>
  <c r="R192" i="27" s="1"/>
  <c r="R191" i="27" s="1"/>
  <c r="R190" i="27" s="1"/>
  <c r="R189" i="27" s="1"/>
  <c r="R188" i="27" s="1"/>
  <c r="R187" i="27" s="1"/>
  <c r="R186" i="27" s="1"/>
  <c r="R185" i="27" s="1"/>
  <c r="R184" i="27" s="1"/>
  <c r="R183" i="27" s="1"/>
  <c r="R182" i="27" s="1"/>
  <c r="R181" i="27" s="1"/>
  <c r="R180" i="27" s="1"/>
  <c r="R179" i="27" s="1"/>
  <c r="R178" i="27" s="1"/>
  <c r="R177" i="27" s="1"/>
  <c r="R176" i="27" s="1"/>
  <c r="R175" i="27" s="1"/>
  <c r="R174" i="27" s="1"/>
  <c r="R173" i="27" s="1"/>
  <c r="R172" i="27" s="1"/>
  <c r="R171" i="27" s="1"/>
  <c r="R170" i="27" s="1"/>
  <c r="R169" i="27" s="1"/>
  <c r="R168" i="27" s="1"/>
  <c r="R167" i="27" s="1"/>
  <c r="R166" i="27" s="1"/>
  <c r="R165" i="27" s="1"/>
  <c r="R164" i="27" s="1"/>
  <c r="R163" i="27" s="1"/>
  <c r="R162" i="27" s="1"/>
  <c r="R161" i="27" s="1"/>
  <c r="R160" i="27" s="1"/>
  <c r="R159" i="27" s="1"/>
  <c r="R158" i="27" s="1"/>
  <c r="R157" i="27" s="1"/>
  <c r="R156" i="27" s="1"/>
  <c r="R155" i="27" s="1"/>
  <c r="R154" i="27" s="1"/>
  <c r="R153" i="27" s="1"/>
  <c r="R152" i="27" s="1"/>
  <c r="R151" i="27" s="1"/>
  <c r="R150" i="27" s="1"/>
  <c r="R149" i="27" s="1"/>
  <c r="R148" i="27" s="1"/>
  <c r="R147" i="27" s="1"/>
  <c r="R146" i="27" s="1"/>
  <c r="R145" i="27" s="1"/>
  <c r="R144" i="27" s="1"/>
  <c r="R143" i="27" s="1"/>
  <c r="R142" i="27" s="1"/>
  <c r="R141" i="27" s="1"/>
  <c r="R140" i="27" s="1"/>
  <c r="R139" i="27" s="1"/>
  <c r="R138" i="27" s="1"/>
  <c r="R137" i="27" s="1"/>
  <c r="R136" i="27" s="1"/>
  <c r="R135" i="27" s="1"/>
  <c r="R134" i="27" s="1"/>
  <c r="R133" i="27" s="1"/>
  <c r="R132" i="27" s="1"/>
  <c r="R131" i="27" s="1"/>
  <c r="R130" i="27" s="1"/>
  <c r="R129" i="27" s="1"/>
  <c r="R128" i="27" s="1"/>
  <c r="R127" i="27" s="1"/>
  <c r="R126" i="27" s="1"/>
  <c r="R125" i="27" s="1"/>
  <c r="R124" i="27" s="1"/>
  <c r="R123" i="27" s="1"/>
  <c r="R122" i="27" s="1"/>
  <c r="R121" i="27" s="1"/>
  <c r="R120" i="27" s="1"/>
  <c r="R119" i="27" s="1"/>
  <c r="R118" i="27" s="1"/>
  <c r="R117" i="27" s="1"/>
  <c r="R116" i="27" s="1"/>
  <c r="R115" i="27" s="1"/>
  <c r="R114" i="27" s="1"/>
  <c r="R113" i="27" s="1"/>
  <c r="R112" i="27" s="1"/>
  <c r="R111" i="27" s="1"/>
  <c r="R110" i="27" s="1"/>
  <c r="R109" i="27" s="1"/>
  <c r="R108" i="27" s="1"/>
  <c r="R107" i="27" s="1"/>
  <c r="R106" i="27" s="1"/>
  <c r="R105" i="27" s="1"/>
  <c r="R104" i="27" s="1"/>
  <c r="R103" i="27" s="1"/>
  <c r="R102" i="27" s="1"/>
  <c r="R101" i="27" s="1"/>
  <c r="R100" i="27" s="1"/>
  <c r="R99" i="27" s="1"/>
  <c r="R98" i="27" s="1"/>
  <c r="R97" i="27" s="1"/>
  <c r="R96" i="27" s="1"/>
  <c r="R95" i="27" s="1"/>
  <c r="R94" i="27" s="1"/>
  <c r="R93" i="27" s="1"/>
  <c r="R92" i="27"/>
  <c r="R91" i="27"/>
  <c r="R90" i="27"/>
  <c r="R89" i="27"/>
  <c r="R88" i="27"/>
  <c r="R87" i="27" s="1"/>
  <c r="R86" i="27" s="1"/>
  <c r="R85" i="27" s="1"/>
  <c r="R84" i="27" s="1"/>
  <c r="R83" i="27" s="1"/>
  <c r="R82" i="27" s="1"/>
  <c r="R81" i="27" s="1"/>
  <c r="R80" i="27" s="1"/>
  <c r="R79" i="27" s="1"/>
  <c r="R78" i="27" s="1"/>
  <c r="R77" i="27" s="1"/>
  <c r="R76" i="27" s="1"/>
  <c r="R75" i="27" s="1"/>
  <c r="R74" i="27" s="1"/>
  <c r="R73" i="27" s="1"/>
  <c r="R72" i="27" s="1"/>
  <c r="R71" i="27" s="1"/>
  <c r="R70" i="27" s="1"/>
  <c r="R69" i="27" s="1"/>
  <c r="R68" i="27" s="1"/>
  <c r="R67" i="27" s="1"/>
  <c r="R66" i="27" s="1"/>
  <c r="R65" i="27" s="1"/>
  <c r="R64" i="27" s="1"/>
  <c r="R63" i="27" s="1"/>
  <c r="R62" i="27" s="1"/>
  <c r="R61" i="27" s="1"/>
  <c r="R60" i="27" s="1"/>
  <c r="R59" i="27" s="1"/>
  <c r="R58" i="27" s="1"/>
  <c r="R57" i="27" s="1"/>
  <c r="R56" i="27" s="1"/>
  <c r="R55" i="27" s="1"/>
  <c r="R54" i="27" s="1"/>
  <c r="R53" i="27" s="1"/>
  <c r="R52" i="27" s="1"/>
  <c r="R51" i="27" s="1"/>
  <c r="R50" i="27" s="1"/>
  <c r="R49" i="27" s="1"/>
  <c r="R48" i="27" s="1"/>
  <c r="R47" i="27" s="1"/>
  <c r="R46" i="27" s="1"/>
  <c r="R45" i="27" s="1"/>
  <c r="R44" i="27" s="1"/>
  <c r="R43" i="27" s="1"/>
  <c r="R42" i="27" s="1"/>
  <c r="R41" i="27" s="1"/>
  <c r="R40" i="27" s="1"/>
  <c r="R39" i="27" s="1"/>
  <c r="R38" i="27" s="1"/>
  <c r="R37" i="27" s="1"/>
  <c r="R36" i="27" s="1"/>
  <c r="R35" i="27" s="1"/>
  <c r="R34" i="27" s="1"/>
  <c r="R33" i="27" s="1"/>
  <c r="R32" i="27" s="1"/>
  <c r="R31" i="27" s="1"/>
  <c r="R30" i="27" s="1"/>
  <c r="R29" i="27" s="1"/>
  <c r="R28" i="27" s="1"/>
  <c r="R27" i="27" s="1"/>
  <c r="R26" i="27" s="1"/>
  <c r="R25" i="27" s="1"/>
  <c r="R24" i="27" s="1"/>
  <c r="R23" i="27" s="1"/>
  <c r="R22" i="27" s="1"/>
  <c r="R21" i="27" s="1"/>
  <c r="R20" i="27" s="1"/>
  <c r="R19" i="27" s="1"/>
  <c r="R18" i="27" s="1"/>
  <c r="R17" i="27" s="1"/>
  <c r="R16" i="27" s="1"/>
  <c r="R15" i="27" s="1"/>
  <c r="R14" i="27" s="1"/>
  <c r="R13" i="27" s="1"/>
  <c r="R12" i="27" s="1"/>
  <c r="R11" i="27" s="1"/>
  <c r="R10" i="27" s="1"/>
  <c r="R9" i="27" s="1"/>
  <c r="R8" i="27" s="1"/>
  <c r="R7" i="27" s="1"/>
  <c r="R6" i="27" s="1"/>
  <c r="R5" i="27" s="1"/>
  <c r="R4" i="27" s="1"/>
  <c r="R3" i="27" s="1"/>
  <c r="P501" i="27"/>
  <c r="P500" i="27"/>
  <c r="P499" i="27"/>
  <c r="P498" i="27"/>
  <c r="P497" i="27"/>
  <c r="P496" i="27"/>
  <c r="P495" i="27"/>
  <c r="P494" i="27"/>
  <c r="P493" i="27"/>
  <c r="P492" i="27"/>
  <c r="P491" i="27"/>
  <c r="P490" i="27"/>
  <c r="P489" i="27"/>
  <c r="P488" i="27"/>
  <c r="P487" i="27"/>
  <c r="P486" i="27"/>
  <c r="P485" i="27"/>
  <c r="P484" i="27"/>
  <c r="P483" i="27"/>
  <c r="P482" i="27"/>
  <c r="P481" i="27"/>
  <c r="P480" i="27"/>
  <c r="P479" i="27"/>
  <c r="P478" i="27"/>
  <c r="P477" i="27"/>
  <c r="P476" i="27"/>
  <c r="P475" i="27"/>
  <c r="P474" i="27"/>
  <c r="P473" i="27"/>
  <c r="P472" i="27"/>
  <c r="P471" i="27"/>
  <c r="P470" i="27"/>
  <c r="P469" i="27"/>
  <c r="P468" i="27"/>
  <c r="P467" i="27"/>
  <c r="P466" i="27"/>
  <c r="P465" i="27"/>
  <c r="P464" i="27"/>
  <c r="P463" i="27"/>
  <c r="P462" i="27"/>
  <c r="P461" i="27"/>
  <c r="P460" i="27"/>
  <c r="P459" i="27"/>
  <c r="P458" i="27"/>
  <c r="P457" i="27"/>
  <c r="P456" i="27"/>
  <c r="P455" i="27"/>
  <c r="P454" i="27"/>
  <c r="P453" i="27"/>
  <c r="P452" i="27"/>
  <c r="P451" i="27"/>
  <c r="P450" i="27"/>
  <c r="P449" i="27"/>
  <c r="P448" i="27"/>
  <c r="P447" i="27"/>
  <c r="P446" i="27"/>
  <c r="P445" i="27"/>
  <c r="P444" i="27"/>
  <c r="P443" i="27"/>
  <c r="P442" i="27"/>
  <c r="P441" i="27"/>
  <c r="P440" i="27"/>
  <c r="P439" i="27"/>
  <c r="P438" i="27"/>
  <c r="P437" i="27"/>
  <c r="P436" i="27"/>
  <c r="P435" i="27"/>
  <c r="P434" i="27"/>
  <c r="P433" i="27"/>
  <c r="P432" i="27"/>
  <c r="P431" i="27"/>
  <c r="P430" i="27"/>
  <c r="P429" i="27"/>
  <c r="P428" i="27"/>
  <c r="P427" i="27"/>
  <c r="P426" i="27"/>
  <c r="P425" i="27"/>
  <c r="P424" i="27"/>
  <c r="P423" i="27"/>
  <c r="P422" i="27"/>
  <c r="P421" i="27"/>
  <c r="P420" i="27"/>
  <c r="P419" i="27"/>
  <c r="P418" i="27"/>
  <c r="P417" i="27"/>
  <c r="P416" i="27"/>
  <c r="P415" i="27"/>
  <c r="P414" i="27"/>
  <c r="P413" i="27"/>
  <c r="P412" i="27"/>
  <c r="P411" i="27"/>
  <c r="P410" i="27"/>
  <c r="P409" i="27"/>
  <c r="P408" i="27"/>
  <c r="P407" i="27"/>
  <c r="P406" i="27"/>
  <c r="P405" i="27"/>
  <c r="P404" i="27"/>
  <c r="P403" i="27"/>
  <c r="P402" i="27"/>
  <c r="P401" i="27"/>
  <c r="P400" i="27"/>
  <c r="P399" i="27"/>
  <c r="P398" i="27"/>
  <c r="P397" i="27"/>
  <c r="P396" i="27"/>
  <c r="P395" i="27"/>
  <c r="P394" i="27"/>
  <c r="P393" i="27"/>
  <c r="P392" i="27"/>
  <c r="P391" i="27"/>
  <c r="P390" i="27"/>
  <c r="P389" i="27"/>
  <c r="P388" i="27"/>
  <c r="P387" i="27"/>
  <c r="P386" i="27"/>
  <c r="P385" i="27"/>
  <c r="P384" i="27"/>
  <c r="P383" i="27"/>
  <c r="P382" i="27"/>
  <c r="P381" i="27"/>
  <c r="P380" i="27"/>
  <c r="P379" i="27"/>
  <c r="P378" i="27"/>
  <c r="P377" i="27"/>
  <c r="P376" i="27"/>
  <c r="P375" i="27"/>
  <c r="P374" i="27"/>
  <c r="P373" i="27"/>
  <c r="P372" i="27"/>
  <c r="P371" i="27"/>
  <c r="P370" i="27"/>
  <c r="P369" i="27"/>
  <c r="P368" i="27"/>
  <c r="P367" i="27"/>
  <c r="P366" i="27"/>
  <c r="P365" i="27"/>
  <c r="P364" i="27"/>
  <c r="P363" i="27"/>
  <c r="P362" i="27"/>
  <c r="P361" i="27"/>
  <c r="P360" i="27"/>
  <c r="P359" i="27"/>
  <c r="P358" i="27"/>
  <c r="P357" i="27"/>
  <c r="P356" i="27"/>
  <c r="P355" i="27"/>
  <c r="P354" i="27"/>
  <c r="P353" i="27"/>
  <c r="P352" i="27"/>
  <c r="P351" i="27"/>
  <c r="P350" i="27"/>
  <c r="P349" i="27"/>
  <c r="P348" i="27"/>
  <c r="P347" i="27"/>
  <c r="P346" i="27"/>
  <c r="P345" i="27"/>
  <c r="P344" i="27"/>
  <c r="P343" i="27"/>
  <c r="P342" i="27"/>
  <c r="P341" i="27"/>
  <c r="P340" i="27"/>
  <c r="P339" i="27"/>
  <c r="P338" i="27"/>
  <c r="P337" i="27"/>
  <c r="P336" i="27"/>
  <c r="P335" i="27"/>
  <c r="P334" i="27"/>
  <c r="P333" i="27"/>
  <c r="P332" i="27"/>
  <c r="P331" i="27"/>
  <c r="P330" i="27"/>
  <c r="P329" i="27"/>
  <c r="P328" i="27"/>
  <c r="P327" i="27"/>
  <c r="P326" i="27"/>
  <c r="P325" i="27"/>
  <c r="P324" i="27"/>
  <c r="P323" i="27"/>
  <c r="P322" i="27"/>
  <c r="P321" i="27"/>
  <c r="P320" i="27"/>
  <c r="P319" i="27"/>
  <c r="P318" i="27" s="1"/>
  <c r="P317" i="27" s="1"/>
  <c r="P316" i="27"/>
  <c r="P315" i="27"/>
  <c r="P314" i="27"/>
  <c r="P313" i="27"/>
  <c r="P312" i="27"/>
  <c r="P311" i="27"/>
  <c r="P310" i="27"/>
  <c r="P309" i="27"/>
  <c r="P308" i="27" s="1"/>
  <c r="P307" i="27" s="1"/>
  <c r="P306" i="27"/>
  <c r="P305" i="27"/>
  <c r="P304" i="27"/>
  <c r="P303" i="27"/>
  <c r="P302" i="27"/>
  <c r="P301" i="27"/>
  <c r="P300" i="27"/>
  <c r="P299" i="27"/>
  <c r="P298" i="27"/>
  <c r="P297" i="27"/>
  <c r="P296" i="27"/>
  <c r="P295" i="27"/>
  <c r="P294" i="27"/>
  <c r="P293" i="27"/>
  <c r="P292" i="27"/>
  <c r="P291" i="27"/>
  <c r="P290" i="27"/>
  <c r="P289" i="27"/>
  <c r="P288" i="27"/>
  <c r="P287" i="27"/>
  <c r="P286" i="27"/>
  <c r="P285" i="27"/>
  <c r="P284" i="27"/>
  <c r="P283" i="27"/>
  <c r="P282" i="27"/>
  <c r="P281" i="27"/>
  <c r="P280" i="27"/>
  <c r="P279" i="27"/>
  <c r="P278" i="27"/>
  <c r="P277" i="27"/>
  <c r="P276" i="27"/>
  <c r="P275" i="27"/>
  <c r="P274" i="27"/>
  <c r="P273" i="27"/>
  <c r="P272" i="27"/>
  <c r="P271" i="27"/>
  <c r="P270" i="27"/>
  <c r="P269" i="27"/>
  <c r="P268" i="27"/>
  <c r="P267" i="27"/>
  <c r="P266" i="27"/>
  <c r="P265" i="27"/>
  <c r="P264" i="27"/>
  <c r="P263" i="27"/>
  <c r="P262" i="27"/>
  <c r="P261" i="27"/>
  <c r="P260" i="27"/>
  <c r="P259" i="27"/>
  <c r="P258" i="27"/>
  <c r="P257" i="27"/>
  <c r="P256" i="27"/>
  <c r="P255" i="27"/>
  <c r="P254" i="27"/>
  <c r="P253" i="27"/>
  <c r="P252" i="27"/>
  <c r="P251" i="27"/>
  <c r="P250" i="27" s="1"/>
  <c r="P249" i="27"/>
  <c r="P248" i="27"/>
  <c r="P247" i="27"/>
  <c r="P246" i="27"/>
  <c r="P245" i="27"/>
  <c r="P244" i="27"/>
  <c r="P243" i="27"/>
  <c r="P242" i="27"/>
  <c r="P241" i="27"/>
  <c r="P240" i="27"/>
  <c r="P239" i="27"/>
  <c r="P238" i="27"/>
  <c r="P237" i="27"/>
  <c r="P236" i="27"/>
  <c r="P235" i="27"/>
  <c r="P234" i="27"/>
  <c r="P233" i="27"/>
  <c r="P232" i="27"/>
  <c r="P231" i="27"/>
  <c r="P230" i="27"/>
  <c r="P229" i="27"/>
  <c r="P228" i="27"/>
  <c r="P227" i="27"/>
  <c r="P226" i="27"/>
  <c r="P225" i="27"/>
  <c r="P224" i="27"/>
  <c r="P223" i="27"/>
  <c r="P222" i="27"/>
  <c r="P221" i="27"/>
  <c r="P220" i="27"/>
  <c r="P219" i="27"/>
  <c r="P218" i="27"/>
  <c r="P217" i="27"/>
  <c r="P216" i="27"/>
  <c r="P215" i="27"/>
  <c r="P214" i="27"/>
  <c r="P213" i="27"/>
  <c r="P212" i="27"/>
  <c r="P211" i="27"/>
  <c r="P210" i="27"/>
  <c r="P209" i="27"/>
  <c r="P208" i="27"/>
  <c r="P207" i="27"/>
  <c r="P206" i="27"/>
  <c r="P205" i="27"/>
  <c r="P204" i="27"/>
  <c r="P203" i="27"/>
  <c r="P202" i="27"/>
  <c r="P201" i="27"/>
  <c r="P200" i="27"/>
  <c r="P199" i="27"/>
  <c r="P198" i="27"/>
  <c r="P197" i="27"/>
  <c r="P196" i="27"/>
  <c r="P195" i="27"/>
  <c r="P194" i="27"/>
  <c r="P193" i="27"/>
  <c r="P192" i="27"/>
  <c r="P191" i="27"/>
  <c r="P190" i="27"/>
  <c r="P189" i="27"/>
  <c r="P188" i="27"/>
  <c r="P187" i="27"/>
  <c r="P186" i="27"/>
  <c r="P185" i="27"/>
  <c r="P184" i="27"/>
  <c r="P183" i="27"/>
  <c r="P182" i="27"/>
  <c r="P181" i="27"/>
  <c r="P180" i="27"/>
  <c r="P179" i="27"/>
  <c r="P178" i="27"/>
  <c r="P177" i="27"/>
  <c r="P176" i="27"/>
  <c r="P175" i="27"/>
  <c r="P174" i="27"/>
  <c r="P173" i="27"/>
  <c r="P172" i="27"/>
  <c r="P171" i="27"/>
  <c r="P170" i="27"/>
  <c r="P169" i="27"/>
  <c r="P168" i="27"/>
  <c r="P167" i="27"/>
  <c r="P166" i="27"/>
  <c r="P165" i="27"/>
  <c r="P164" i="27"/>
  <c r="P163" i="27"/>
  <c r="P162" i="27"/>
  <c r="P161" i="27"/>
  <c r="P160" i="27"/>
  <c r="P159" i="27"/>
  <c r="P158" i="27"/>
  <c r="P157" i="27"/>
  <c r="P156" i="27"/>
  <c r="P155" i="27"/>
  <c r="P154" i="27"/>
  <c r="P153" i="27"/>
  <c r="P152" i="27"/>
  <c r="P151" i="27"/>
  <c r="P150" i="27"/>
  <c r="P149" i="27"/>
  <c r="P148" i="27"/>
  <c r="P147" i="27"/>
  <c r="P146" i="27"/>
  <c r="P145" i="27"/>
  <c r="P144" i="27"/>
  <c r="P143" i="27"/>
  <c r="P142" i="27"/>
  <c r="P141" i="27"/>
  <c r="P140" i="27"/>
  <c r="P139" i="27"/>
  <c r="P138" i="27"/>
  <c r="P137" i="27"/>
  <c r="P136" i="27"/>
  <c r="P135" i="27"/>
  <c r="P134" i="27"/>
  <c r="P133" i="27"/>
  <c r="P132" i="27"/>
  <c r="P131" i="27"/>
  <c r="P130" i="27"/>
  <c r="P129" i="27"/>
  <c r="P128" i="27"/>
  <c r="P127" i="27"/>
  <c r="P126" i="27"/>
  <c r="P125" i="27"/>
  <c r="P124" i="27"/>
  <c r="P123" i="27"/>
  <c r="P122" i="27"/>
  <c r="P121" i="27"/>
  <c r="P120" i="27"/>
  <c r="P119" i="27"/>
  <c r="P118" i="27"/>
  <c r="P117" i="27"/>
  <c r="P116" i="27"/>
  <c r="P115" i="27"/>
  <c r="P114" i="27"/>
  <c r="P113" i="27"/>
  <c r="P112" i="27"/>
  <c r="P111" i="27"/>
  <c r="P110" i="27"/>
  <c r="P109" i="27"/>
  <c r="P108" i="27"/>
  <c r="P107" i="27"/>
  <c r="P106" i="27"/>
  <c r="P105" i="27"/>
  <c r="P104" i="27"/>
  <c r="P103" i="27"/>
  <c r="P102" i="27"/>
  <c r="P101" i="27"/>
  <c r="P100" i="27"/>
  <c r="P99" i="27"/>
  <c r="P98" i="27"/>
  <c r="P97" i="27"/>
  <c r="P96" i="27"/>
  <c r="P95" i="27"/>
  <c r="P94" i="27"/>
  <c r="P93" i="27"/>
  <c r="P92" i="27"/>
  <c r="P91" i="27"/>
  <c r="P90" i="27"/>
  <c r="P89" i="27"/>
  <c r="P88" i="27"/>
  <c r="P87" i="27"/>
  <c r="P86" i="27"/>
  <c r="P85" i="27"/>
  <c r="P84" i="27"/>
  <c r="P83" i="27"/>
  <c r="P82" i="27"/>
  <c r="P81" i="27"/>
  <c r="P80" i="27"/>
  <c r="P79" i="27"/>
  <c r="P78" i="27" s="1"/>
  <c r="P66" i="27"/>
  <c r="P65" i="27"/>
  <c r="P64" i="27"/>
  <c r="P63" i="27"/>
  <c r="P62" i="27"/>
  <c r="P61" i="27"/>
  <c r="P60" i="27"/>
  <c r="P57" i="27"/>
  <c r="P56" i="27"/>
  <c r="P55" i="27"/>
  <c r="P54" i="27"/>
  <c r="P53" i="27"/>
  <c r="P52" i="27"/>
  <c r="P51" i="27"/>
  <c r="P50" i="27"/>
  <c r="P49" i="27"/>
  <c r="P48" i="27"/>
  <c r="P47" i="27"/>
  <c r="P46" i="27"/>
  <c r="P45" i="27"/>
  <c r="P44" i="27"/>
  <c r="P43" i="27"/>
  <c r="P42" i="27" s="1"/>
  <c r="P41" i="27" s="1"/>
  <c r="P34" i="27"/>
  <c r="P33" i="27"/>
  <c r="P32" i="27"/>
  <c r="P31" i="27"/>
  <c r="P30" i="27"/>
  <c r="P29" i="27"/>
  <c r="P59" i="27" l="1"/>
  <c r="P40" i="27"/>
  <c r="P28" i="27"/>
  <c r="P77" i="27"/>
  <c r="P76" i="27" s="1"/>
  <c r="P75" i="27" l="1"/>
  <c r="P58" i="27"/>
  <c r="P39" i="27"/>
  <c r="P27" i="27"/>
  <c r="O501" i="27"/>
  <c r="N501" i="27"/>
  <c r="M501" i="27"/>
  <c r="L501" i="27"/>
  <c r="J501" i="27"/>
  <c r="I501" i="27"/>
  <c r="O500" i="27"/>
  <c r="N500" i="27"/>
  <c r="M500" i="27"/>
  <c r="L500" i="27"/>
  <c r="J500" i="27"/>
  <c r="I500" i="27"/>
  <c r="O499" i="27"/>
  <c r="N499" i="27"/>
  <c r="M499" i="27"/>
  <c r="L499" i="27"/>
  <c r="J499" i="27"/>
  <c r="I499" i="27"/>
  <c r="O498" i="27"/>
  <c r="N498" i="27"/>
  <c r="M498" i="27"/>
  <c r="L498" i="27"/>
  <c r="J498" i="27"/>
  <c r="I498" i="27"/>
  <c r="O497" i="27"/>
  <c r="N497" i="27"/>
  <c r="M497" i="27"/>
  <c r="L497" i="27"/>
  <c r="J497" i="27"/>
  <c r="I497" i="27"/>
  <c r="O496" i="27"/>
  <c r="N496" i="27"/>
  <c r="M496" i="27"/>
  <c r="L496" i="27"/>
  <c r="J496" i="27"/>
  <c r="I496" i="27"/>
  <c r="O495" i="27"/>
  <c r="N495" i="27"/>
  <c r="M495" i="27"/>
  <c r="L495" i="27"/>
  <c r="J495" i="27"/>
  <c r="I495" i="27"/>
  <c r="O494" i="27"/>
  <c r="N494" i="27"/>
  <c r="M494" i="27"/>
  <c r="L494" i="27"/>
  <c r="J494" i="27"/>
  <c r="I494" i="27"/>
  <c r="O493" i="27"/>
  <c r="N493" i="27"/>
  <c r="M493" i="27"/>
  <c r="L493" i="27"/>
  <c r="J493" i="27"/>
  <c r="I493" i="27"/>
  <c r="O492" i="27"/>
  <c r="N492" i="27"/>
  <c r="M492" i="27"/>
  <c r="L492" i="27"/>
  <c r="J492" i="27"/>
  <c r="I492" i="27"/>
  <c r="O491" i="27"/>
  <c r="N491" i="27"/>
  <c r="M491" i="27"/>
  <c r="L491" i="27"/>
  <c r="J491" i="27"/>
  <c r="I491" i="27"/>
  <c r="O490" i="27"/>
  <c r="N490" i="27"/>
  <c r="M490" i="27"/>
  <c r="L490" i="27"/>
  <c r="J490" i="27"/>
  <c r="I490" i="27"/>
  <c r="O489" i="27"/>
  <c r="N489" i="27"/>
  <c r="M489" i="27"/>
  <c r="L489" i="27"/>
  <c r="J489" i="27"/>
  <c r="I489" i="27"/>
  <c r="O488" i="27"/>
  <c r="N488" i="27"/>
  <c r="M488" i="27"/>
  <c r="L488" i="27"/>
  <c r="J488" i="27"/>
  <c r="I488" i="27"/>
  <c r="O487" i="27"/>
  <c r="N487" i="27"/>
  <c r="M487" i="27"/>
  <c r="L487" i="27"/>
  <c r="J487" i="27"/>
  <c r="I487" i="27"/>
  <c r="O486" i="27"/>
  <c r="N486" i="27"/>
  <c r="M486" i="27"/>
  <c r="L486" i="27"/>
  <c r="J486" i="27"/>
  <c r="I486" i="27"/>
  <c r="O485" i="27"/>
  <c r="N485" i="27"/>
  <c r="M485" i="27"/>
  <c r="L485" i="27"/>
  <c r="J485" i="27"/>
  <c r="I485" i="27"/>
  <c r="O484" i="27"/>
  <c r="N484" i="27"/>
  <c r="M484" i="27"/>
  <c r="L484" i="27"/>
  <c r="J484" i="27"/>
  <c r="I484" i="27"/>
  <c r="O483" i="27"/>
  <c r="N483" i="27"/>
  <c r="M483" i="27"/>
  <c r="L483" i="27"/>
  <c r="J483" i="27"/>
  <c r="I483" i="27"/>
  <c r="O482" i="27"/>
  <c r="N482" i="27"/>
  <c r="M482" i="27"/>
  <c r="L482" i="27"/>
  <c r="J482" i="27"/>
  <c r="I482" i="27"/>
  <c r="O481" i="27"/>
  <c r="N481" i="27"/>
  <c r="M481" i="27"/>
  <c r="L481" i="27"/>
  <c r="J481" i="27"/>
  <c r="I481" i="27"/>
  <c r="O480" i="27"/>
  <c r="N480" i="27"/>
  <c r="M480" i="27"/>
  <c r="L480" i="27"/>
  <c r="J480" i="27"/>
  <c r="I480" i="27"/>
  <c r="O479" i="27"/>
  <c r="N479" i="27"/>
  <c r="M479" i="27"/>
  <c r="L479" i="27"/>
  <c r="J479" i="27"/>
  <c r="I479" i="27"/>
  <c r="O478" i="27"/>
  <c r="N478" i="27"/>
  <c r="M478" i="27"/>
  <c r="L478" i="27"/>
  <c r="J478" i="27"/>
  <c r="I478" i="27"/>
  <c r="O477" i="27"/>
  <c r="N477" i="27"/>
  <c r="M477" i="27"/>
  <c r="L477" i="27"/>
  <c r="J477" i="27"/>
  <c r="I477" i="27"/>
  <c r="O476" i="27"/>
  <c r="N476" i="27"/>
  <c r="M476" i="27"/>
  <c r="L476" i="27"/>
  <c r="J476" i="27"/>
  <c r="I476" i="27"/>
  <c r="O475" i="27"/>
  <c r="N475" i="27"/>
  <c r="M475" i="27"/>
  <c r="L475" i="27"/>
  <c r="J475" i="27"/>
  <c r="I475" i="27"/>
  <c r="O474" i="27"/>
  <c r="N474" i="27"/>
  <c r="M474" i="27"/>
  <c r="L474" i="27"/>
  <c r="J474" i="27"/>
  <c r="I474" i="27"/>
  <c r="O473" i="27"/>
  <c r="N473" i="27"/>
  <c r="M473" i="27"/>
  <c r="L473" i="27"/>
  <c r="J473" i="27"/>
  <c r="I473" i="27"/>
  <c r="O472" i="27"/>
  <c r="N472" i="27"/>
  <c r="M472" i="27"/>
  <c r="L472" i="27"/>
  <c r="J472" i="27"/>
  <c r="I472" i="27"/>
  <c r="O471" i="27"/>
  <c r="N471" i="27"/>
  <c r="M471" i="27"/>
  <c r="L471" i="27"/>
  <c r="J471" i="27"/>
  <c r="I471" i="27"/>
  <c r="O470" i="27"/>
  <c r="N470" i="27"/>
  <c r="M470" i="27"/>
  <c r="L470" i="27"/>
  <c r="J470" i="27"/>
  <c r="I470" i="27"/>
  <c r="O469" i="27"/>
  <c r="N469" i="27"/>
  <c r="M469" i="27"/>
  <c r="L469" i="27"/>
  <c r="J469" i="27"/>
  <c r="I469" i="27"/>
  <c r="O468" i="27"/>
  <c r="N468" i="27"/>
  <c r="M468" i="27"/>
  <c r="L468" i="27"/>
  <c r="J468" i="27"/>
  <c r="I468" i="27"/>
  <c r="O467" i="27"/>
  <c r="N467" i="27"/>
  <c r="M467" i="27"/>
  <c r="L467" i="27"/>
  <c r="J467" i="27"/>
  <c r="I467" i="27"/>
  <c r="O466" i="27"/>
  <c r="N466" i="27"/>
  <c r="M466" i="27"/>
  <c r="L466" i="27"/>
  <c r="J466" i="27"/>
  <c r="I466" i="27"/>
  <c r="O465" i="27"/>
  <c r="N465" i="27"/>
  <c r="M465" i="27"/>
  <c r="L465" i="27"/>
  <c r="J465" i="27"/>
  <c r="I465" i="27"/>
  <c r="O464" i="27"/>
  <c r="N464" i="27"/>
  <c r="M464" i="27"/>
  <c r="L464" i="27"/>
  <c r="J464" i="27"/>
  <c r="I464" i="27"/>
  <c r="O463" i="27"/>
  <c r="N463" i="27"/>
  <c r="M463" i="27"/>
  <c r="L463" i="27"/>
  <c r="J463" i="27"/>
  <c r="I463" i="27"/>
  <c r="O462" i="27"/>
  <c r="N462" i="27"/>
  <c r="M462" i="27"/>
  <c r="L462" i="27"/>
  <c r="J462" i="27"/>
  <c r="I462" i="27"/>
  <c r="O461" i="27"/>
  <c r="N461" i="27"/>
  <c r="M461" i="27"/>
  <c r="L461" i="27"/>
  <c r="J461" i="27"/>
  <c r="I461" i="27"/>
  <c r="O460" i="27"/>
  <c r="N460" i="27"/>
  <c r="M460" i="27"/>
  <c r="L460" i="27"/>
  <c r="J460" i="27"/>
  <c r="I460" i="27"/>
  <c r="O459" i="27"/>
  <c r="N459" i="27"/>
  <c r="M459" i="27"/>
  <c r="L459" i="27"/>
  <c r="J459" i="27"/>
  <c r="I459" i="27"/>
  <c r="O458" i="27"/>
  <c r="N458" i="27"/>
  <c r="M458" i="27"/>
  <c r="L458" i="27"/>
  <c r="J458" i="27"/>
  <c r="I458" i="27"/>
  <c r="O457" i="27"/>
  <c r="N457" i="27"/>
  <c r="M457" i="27"/>
  <c r="L457" i="27"/>
  <c r="J457" i="27"/>
  <c r="I457" i="27"/>
  <c r="O456" i="27"/>
  <c r="N456" i="27"/>
  <c r="M456" i="27"/>
  <c r="L456" i="27"/>
  <c r="J456" i="27"/>
  <c r="I456" i="27"/>
  <c r="O455" i="27"/>
  <c r="N455" i="27"/>
  <c r="M455" i="27"/>
  <c r="L455" i="27"/>
  <c r="J455" i="27"/>
  <c r="I455" i="27"/>
  <c r="O454" i="27"/>
  <c r="N454" i="27"/>
  <c r="M454" i="27"/>
  <c r="L454" i="27"/>
  <c r="J454" i="27"/>
  <c r="I454" i="27"/>
  <c r="O453" i="27"/>
  <c r="N453" i="27"/>
  <c r="M453" i="27"/>
  <c r="L453" i="27"/>
  <c r="J453" i="27"/>
  <c r="I453" i="27"/>
  <c r="O452" i="27"/>
  <c r="N452" i="27"/>
  <c r="M452" i="27"/>
  <c r="L452" i="27"/>
  <c r="J452" i="27"/>
  <c r="I452" i="27"/>
  <c r="O451" i="27"/>
  <c r="N451" i="27"/>
  <c r="M451" i="27"/>
  <c r="L451" i="27"/>
  <c r="J451" i="27"/>
  <c r="I451" i="27"/>
  <c r="O450" i="27"/>
  <c r="N450" i="27"/>
  <c r="M450" i="27"/>
  <c r="L450" i="27"/>
  <c r="J450" i="27"/>
  <c r="I450" i="27"/>
  <c r="O449" i="27"/>
  <c r="N449" i="27"/>
  <c r="M449" i="27"/>
  <c r="L449" i="27"/>
  <c r="J449" i="27"/>
  <c r="I449" i="27"/>
  <c r="O448" i="27"/>
  <c r="N448" i="27"/>
  <c r="M448" i="27"/>
  <c r="L448" i="27"/>
  <c r="J448" i="27"/>
  <c r="I448" i="27"/>
  <c r="O447" i="27"/>
  <c r="N447" i="27"/>
  <c r="M447" i="27"/>
  <c r="L447" i="27"/>
  <c r="J447" i="27"/>
  <c r="I447" i="27"/>
  <c r="O446" i="27"/>
  <c r="N446" i="27"/>
  <c r="M446" i="27"/>
  <c r="L446" i="27"/>
  <c r="J446" i="27"/>
  <c r="I446" i="27"/>
  <c r="O445" i="27"/>
  <c r="N445" i="27"/>
  <c r="M445" i="27"/>
  <c r="L445" i="27"/>
  <c r="J445" i="27"/>
  <c r="I445" i="27"/>
  <c r="O444" i="27"/>
  <c r="N444" i="27"/>
  <c r="M444" i="27"/>
  <c r="L444" i="27"/>
  <c r="J444" i="27"/>
  <c r="I444" i="27"/>
  <c r="O443" i="27"/>
  <c r="N443" i="27"/>
  <c r="M443" i="27"/>
  <c r="L443" i="27"/>
  <c r="J443" i="27"/>
  <c r="I443" i="27"/>
  <c r="O442" i="27"/>
  <c r="N442" i="27"/>
  <c r="M442" i="27"/>
  <c r="L442" i="27"/>
  <c r="J442" i="27"/>
  <c r="I442" i="27"/>
  <c r="O441" i="27"/>
  <c r="N441" i="27"/>
  <c r="M441" i="27"/>
  <c r="L441" i="27"/>
  <c r="J441" i="27"/>
  <c r="I441" i="27"/>
  <c r="O440" i="27"/>
  <c r="N440" i="27"/>
  <c r="M440" i="27"/>
  <c r="L440" i="27"/>
  <c r="J440" i="27"/>
  <c r="I440" i="27"/>
  <c r="O439" i="27"/>
  <c r="N439" i="27"/>
  <c r="M439" i="27"/>
  <c r="L439" i="27"/>
  <c r="J439" i="27"/>
  <c r="I439" i="27"/>
  <c r="O438" i="27"/>
  <c r="N438" i="27"/>
  <c r="M438" i="27"/>
  <c r="L438" i="27"/>
  <c r="J438" i="27"/>
  <c r="I438" i="27"/>
  <c r="O437" i="27"/>
  <c r="N437" i="27"/>
  <c r="M437" i="27"/>
  <c r="L437" i="27"/>
  <c r="J437" i="27"/>
  <c r="I437" i="27"/>
  <c r="O436" i="27"/>
  <c r="N436" i="27"/>
  <c r="M436" i="27"/>
  <c r="L436" i="27"/>
  <c r="J436" i="27"/>
  <c r="I436" i="27"/>
  <c r="O435" i="27"/>
  <c r="N435" i="27"/>
  <c r="M435" i="27"/>
  <c r="L435" i="27"/>
  <c r="J435" i="27"/>
  <c r="I435" i="27"/>
  <c r="O434" i="27"/>
  <c r="N434" i="27"/>
  <c r="M434" i="27"/>
  <c r="L434" i="27"/>
  <c r="J434" i="27"/>
  <c r="I434" i="27"/>
  <c r="O433" i="27"/>
  <c r="N433" i="27"/>
  <c r="M433" i="27"/>
  <c r="L433" i="27"/>
  <c r="J433" i="27"/>
  <c r="I433" i="27"/>
  <c r="O432" i="27"/>
  <c r="N432" i="27"/>
  <c r="M432" i="27"/>
  <c r="L432" i="27"/>
  <c r="J432" i="27"/>
  <c r="I432" i="27"/>
  <c r="O431" i="27"/>
  <c r="N431" i="27"/>
  <c r="M431" i="27"/>
  <c r="L431" i="27"/>
  <c r="J431" i="27"/>
  <c r="I431" i="27"/>
  <c r="O430" i="27"/>
  <c r="N430" i="27"/>
  <c r="M430" i="27"/>
  <c r="L430" i="27"/>
  <c r="J430" i="27"/>
  <c r="I430" i="27"/>
  <c r="O429" i="27"/>
  <c r="N429" i="27"/>
  <c r="M429" i="27"/>
  <c r="L429" i="27"/>
  <c r="J429" i="27"/>
  <c r="I429" i="27"/>
  <c r="O428" i="27"/>
  <c r="N428" i="27"/>
  <c r="M428" i="27"/>
  <c r="L428" i="27"/>
  <c r="J428" i="27"/>
  <c r="I428" i="27"/>
  <c r="O427" i="27"/>
  <c r="N427" i="27"/>
  <c r="M427" i="27"/>
  <c r="L427" i="27"/>
  <c r="J427" i="27"/>
  <c r="I427" i="27"/>
  <c r="O426" i="27"/>
  <c r="N426" i="27"/>
  <c r="M426" i="27"/>
  <c r="L426" i="27"/>
  <c r="J426" i="27"/>
  <c r="I426" i="27"/>
  <c r="O425" i="27"/>
  <c r="N425" i="27"/>
  <c r="M425" i="27"/>
  <c r="L425" i="27"/>
  <c r="J425" i="27"/>
  <c r="I425" i="27"/>
  <c r="O424" i="27"/>
  <c r="N424" i="27"/>
  <c r="M424" i="27"/>
  <c r="L424" i="27"/>
  <c r="J424" i="27"/>
  <c r="I424" i="27"/>
  <c r="O423" i="27"/>
  <c r="N423" i="27"/>
  <c r="M423" i="27"/>
  <c r="L423" i="27"/>
  <c r="J423" i="27"/>
  <c r="I423" i="27"/>
  <c r="O422" i="27"/>
  <c r="N422" i="27"/>
  <c r="M422" i="27"/>
  <c r="L422" i="27"/>
  <c r="J422" i="27"/>
  <c r="I422" i="27"/>
  <c r="O421" i="27"/>
  <c r="N421" i="27"/>
  <c r="M421" i="27"/>
  <c r="L421" i="27"/>
  <c r="J421" i="27"/>
  <c r="I421" i="27"/>
  <c r="O420" i="27"/>
  <c r="N420" i="27"/>
  <c r="M420" i="27"/>
  <c r="L420" i="27"/>
  <c r="J420" i="27"/>
  <c r="I420" i="27"/>
  <c r="O419" i="27"/>
  <c r="N419" i="27"/>
  <c r="M419" i="27"/>
  <c r="L419" i="27"/>
  <c r="J419" i="27"/>
  <c r="I419" i="27"/>
  <c r="O418" i="27"/>
  <c r="N418" i="27"/>
  <c r="M418" i="27"/>
  <c r="L418" i="27"/>
  <c r="J418" i="27"/>
  <c r="I418" i="27"/>
  <c r="O417" i="27"/>
  <c r="N417" i="27"/>
  <c r="M417" i="27"/>
  <c r="L417" i="27"/>
  <c r="J417" i="27"/>
  <c r="I417" i="27"/>
  <c r="O416" i="27"/>
  <c r="N416" i="27"/>
  <c r="M416" i="27"/>
  <c r="L416" i="27"/>
  <c r="J416" i="27"/>
  <c r="I416" i="27"/>
  <c r="O415" i="27"/>
  <c r="N415" i="27"/>
  <c r="M415" i="27"/>
  <c r="L415" i="27"/>
  <c r="J415" i="27"/>
  <c r="I415" i="27"/>
  <c r="O414" i="27"/>
  <c r="N414" i="27"/>
  <c r="M414" i="27"/>
  <c r="L414" i="27"/>
  <c r="J414" i="27"/>
  <c r="I414" i="27"/>
  <c r="O413" i="27"/>
  <c r="N413" i="27"/>
  <c r="M413" i="27"/>
  <c r="L413" i="27"/>
  <c r="J413" i="27"/>
  <c r="I413" i="27"/>
  <c r="O412" i="27"/>
  <c r="N412" i="27"/>
  <c r="M412" i="27"/>
  <c r="L412" i="27"/>
  <c r="J412" i="27"/>
  <c r="I412" i="27"/>
  <c r="O411" i="27"/>
  <c r="N411" i="27"/>
  <c r="M411" i="27"/>
  <c r="L411" i="27"/>
  <c r="J411" i="27"/>
  <c r="I411" i="27"/>
  <c r="O410" i="27"/>
  <c r="N410" i="27"/>
  <c r="M410" i="27"/>
  <c r="L410" i="27"/>
  <c r="J410" i="27"/>
  <c r="I410" i="27"/>
  <c r="O409" i="27"/>
  <c r="N409" i="27"/>
  <c r="M409" i="27"/>
  <c r="L409" i="27"/>
  <c r="J409" i="27"/>
  <c r="I409" i="27"/>
  <c r="O408" i="27"/>
  <c r="N408" i="27"/>
  <c r="M408" i="27"/>
  <c r="L408" i="27"/>
  <c r="J408" i="27"/>
  <c r="I408" i="27"/>
  <c r="O407" i="27"/>
  <c r="N407" i="27"/>
  <c r="M407" i="27"/>
  <c r="L407" i="27"/>
  <c r="J407" i="27"/>
  <c r="I407" i="27"/>
  <c r="O406" i="27"/>
  <c r="N406" i="27"/>
  <c r="M406" i="27"/>
  <c r="L406" i="27"/>
  <c r="J406" i="27"/>
  <c r="I406" i="27"/>
  <c r="O405" i="27"/>
  <c r="N405" i="27"/>
  <c r="M405" i="27"/>
  <c r="L405" i="27"/>
  <c r="J405" i="27"/>
  <c r="I405" i="27"/>
  <c r="O404" i="27"/>
  <c r="N404" i="27"/>
  <c r="M404" i="27"/>
  <c r="L404" i="27"/>
  <c r="J404" i="27"/>
  <c r="I404" i="27"/>
  <c r="O403" i="27"/>
  <c r="N403" i="27"/>
  <c r="M403" i="27"/>
  <c r="L403" i="27"/>
  <c r="J403" i="27"/>
  <c r="I403" i="27"/>
  <c r="O402" i="27"/>
  <c r="N402" i="27"/>
  <c r="M402" i="27"/>
  <c r="L402" i="27"/>
  <c r="J402" i="27"/>
  <c r="I402" i="27"/>
  <c r="O401" i="27"/>
  <c r="N401" i="27"/>
  <c r="M401" i="27"/>
  <c r="L401" i="27"/>
  <c r="J401" i="27"/>
  <c r="I401" i="27"/>
  <c r="O400" i="27"/>
  <c r="N400" i="27"/>
  <c r="M400" i="27"/>
  <c r="L400" i="27"/>
  <c r="J400" i="27"/>
  <c r="I400" i="27"/>
  <c r="O399" i="27"/>
  <c r="N399" i="27"/>
  <c r="M399" i="27"/>
  <c r="L399" i="27"/>
  <c r="J399" i="27"/>
  <c r="I399" i="27"/>
  <c r="O398" i="27"/>
  <c r="N398" i="27"/>
  <c r="M398" i="27"/>
  <c r="L398" i="27"/>
  <c r="J398" i="27"/>
  <c r="I398" i="27"/>
  <c r="O397" i="27"/>
  <c r="N397" i="27"/>
  <c r="M397" i="27"/>
  <c r="L397" i="27"/>
  <c r="J397" i="27"/>
  <c r="I397" i="27"/>
  <c r="O396" i="27"/>
  <c r="N396" i="27"/>
  <c r="M396" i="27"/>
  <c r="L396" i="27"/>
  <c r="J396" i="27"/>
  <c r="I396" i="27"/>
  <c r="O395" i="27"/>
  <c r="N395" i="27"/>
  <c r="M395" i="27"/>
  <c r="L395" i="27"/>
  <c r="J395" i="27"/>
  <c r="I395" i="27"/>
  <c r="O394" i="27"/>
  <c r="N394" i="27"/>
  <c r="M394" i="27"/>
  <c r="L394" i="27"/>
  <c r="J394" i="27"/>
  <c r="I394" i="27"/>
  <c r="O393" i="27"/>
  <c r="N393" i="27"/>
  <c r="M393" i="27"/>
  <c r="L393" i="27"/>
  <c r="J393" i="27"/>
  <c r="I393" i="27"/>
  <c r="O392" i="27"/>
  <c r="N392" i="27"/>
  <c r="M392" i="27"/>
  <c r="L392" i="27"/>
  <c r="J392" i="27"/>
  <c r="I392" i="27"/>
  <c r="O391" i="27"/>
  <c r="N391" i="27"/>
  <c r="M391" i="27"/>
  <c r="L391" i="27"/>
  <c r="J391" i="27"/>
  <c r="I391" i="27"/>
  <c r="O390" i="27"/>
  <c r="N390" i="27"/>
  <c r="M390" i="27"/>
  <c r="L390" i="27"/>
  <c r="J390" i="27"/>
  <c r="I390" i="27"/>
  <c r="O389" i="27"/>
  <c r="N389" i="27"/>
  <c r="M389" i="27"/>
  <c r="L389" i="27"/>
  <c r="J389" i="27"/>
  <c r="I389" i="27"/>
  <c r="O388" i="27"/>
  <c r="N388" i="27"/>
  <c r="M388" i="27"/>
  <c r="L388" i="27"/>
  <c r="J388" i="27"/>
  <c r="I388" i="27"/>
  <c r="O387" i="27"/>
  <c r="N387" i="27"/>
  <c r="M387" i="27"/>
  <c r="L387" i="27"/>
  <c r="J387" i="27"/>
  <c r="I387" i="27"/>
  <c r="O386" i="27"/>
  <c r="N386" i="27"/>
  <c r="M386" i="27"/>
  <c r="L386" i="27"/>
  <c r="J386" i="27"/>
  <c r="I386" i="27"/>
  <c r="O385" i="27"/>
  <c r="N385" i="27"/>
  <c r="M385" i="27"/>
  <c r="L385" i="27"/>
  <c r="J385" i="27"/>
  <c r="I385" i="27"/>
  <c r="O384" i="27"/>
  <c r="N384" i="27"/>
  <c r="M384" i="27"/>
  <c r="L384" i="27"/>
  <c r="J384" i="27"/>
  <c r="I384" i="27"/>
  <c r="O383" i="27"/>
  <c r="N383" i="27"/>
  <c r="M383" i="27"/>
  <c r="L383" i="27"/>
  <c r="J383" i="27"/>
  <c r="I383" i="27"/>
  <c r="O382" i="27"/>
  <c r="N382" i="27"/>
  <c r="M382" i="27"/>
  <c r="L382" i="27"/>
  <c r="J382" i="27"/>
  <c r="I382" i="27"/>
  <c r="O381" i="27"/>
  <c r="N381" i="27"/>
  <c r="M381" i="27"/>
  <c r="L381" i="27"/>
  <c r="J381" i="27"/>
  <c r="I381" i="27"/>
  <c r="O380" i="27"/>
  <c r="N380" i="27"/>
  <c r="M380" i="27"/>
  <c r="L380" i="27"/>
  <c r="J380" i="27"/>
  <c r="I380" i="27"/>
  <c r="O379" i="27"/>
  <c r="N379" i="27"/>
  <c r="M379" i="27"/>
  <c r="L379" i="27"/>
  <c r="J379" i="27"/>
  <c r="I379" i="27"/>
  <c r="O378" i="27"/>
  <c r="N378" i="27"/>
  <c r="M378" i="27"/>
  <c r="L378" i="27"/>
  <c r="J378" i="27"/>
  <c r="I378" i="27"/>
  <c r="O377" i="27"/>
  <c r="N377" i="27"/>
  <c r="M377" i="27"/>
  <c r="L377" i="27"/>
  <c r="J377" i="27"/>
  <c r="I377" i="27"/>
  <c r="O376" i="27"/>
  <c r="N376" i="27"/>
  <c r="M376" i="27"/>
  <c r="L376" i="27"/>
  <c r="J376" i="27"/>
  <c r="I376" i="27"/>
  <c r="O375" i="27"/>
  <c r="N375" i="27"/>
  <c r="M375" i="27"/>
  <c r="L375" i="27"/>
  <c r="J375" i="27"/>
  <c r="I375" i="27"/>
  <c r="O374" i="27"/>
  <c r="N374" i="27"/>
  <c r="M374" i="27"/>
  <c r="L374" i="27"/>
  <c r="J374" i="27"/>
  <c r="I374" i="27"/>
  <c r="O373" i="27"/>
  <c r="N373" i="27"/>
  <c r="M373" i="27"/>
  <c r="L373" i="27"/>
  <c r="J373" i="27"/>
  <c r="I373" i="27"/>
  <c r="O372" i="27"/>
  <c r="N372" i="27"/>
  <c r="M372" i="27"/>
  <c r="L372" i="27"/>
  <c r="J372" i="27"/>
  <c r="I372" i="27"/>
  <c r="O371" i="27"/>
  <c r="N371" i="27"/>
  <c r="M371" i="27"/>
  <c r="L371" i="27"/>
  <c r="J371" i="27"/>
  <c r="I371" i="27"/>
  <c r="O370" i="27"/>
  <c r="N370" i="27"/>
  <c r="M370" i="27"/>
  <c r="L370" i="27"/>
  <c r="J370" i="27"/>
  <c r="I370" i="27"/>
  <c r="O369" i="27"/>
  <c r="N369" i="27"/>
  <c r="M369" i="27"/>
  <c r="L369" i="27"/>
  <c r="J369" i="27"/>
  <c r="I369" i="27"/>
  <c r="O368" i="27"/>
  <c r="N368" i="27"/>
  <c r="M368" i="27"/>
  <c r="L368" i="27"/>
  <c r="J368" i="27"/>
  <c r="I368" i="27"/>
  <c r="O367" i="27"/>
  <c r="N367" i="27"/>
  <c r="M367" i="27"/>
  <c r="L367" i="27"/>
  <c r="J367" i="27"/>
  <c r="I367" i="27"/>
  <c r="O366" i="27"/>
  <c r="N366" i="27"/>
  <c r="M366" i="27"/>
  <c r="L366" i="27"/>
  <c r="J366" i="27"/>
  <c r="I366" i="27"/>
  <c r="O365" i="27"/>
  <c r="N365" i="27"/>
  <c r="M365" i="27"/>
  <c r="L365" i="27"/>
  <c r="J365" i="27"/>
  <c r="I365" i="27"/>
  <c r="O364" i="27"/>
  <c r="N364" i="27"/>
  <c r="M364" i="27"/>
  <c r="L364" i="27"/>
  <c r="J364" i="27"/>
  <c r="I364" i="27"/>
  <c r="O363" i="27"/>
  <c r="N363" i="27"/>
  <c r="M363" i="27"/>
  <c r="L363" i="27"/>
  <c r="J363" i="27"/>
  <c r="I363" i="27"/>
  <c r="O362" i="27"/>
  <c r="N362" i="27"/>
  <c r="M362" i="27"/>
  <c r="L362" i="27"/>
  <c r="J362" i="27"/>
  <c r="I362" i="27"/>
  <c r="O361" i="27"/>
  <c r="N361" i="27"/>
  <c r="M361" i="27"/>
  <c r="L361" i="27"/>
  <c r="J361" i="27"/>
  <c r="I361" i="27"/>
  <c r="O360" i="27"/>
  <c r="N360" i="27"/>
  <c r="M360" i="27"/>
  <c r="L360" i="27"/>
  <c r="J360" i="27"/>
  <c r="I360" i="27"/>
  <c r="O359" i="27"/>
  <c r="N359" i="27"/>
  <c r="M359" i="27"/>
  <c r="L359" i="27"/>
  <c r="J359" i="27"/>
  <c r="I359" i="27"/>
  <c r="O358" i="27"/>
  <c r="N358" i="27"/>
  <c r="M358" i="27"/>
  <c r="L358" i="27"/>
  <c r="J358" i="27"/>
  <c r="I358" i="27"/>
  <c r="O357" i="27"/>
  <c r="N357" i="27"/>
  <c r="M357" i="27"/>
  <c r="L357" i="27"/>
  <c r="J357" i="27"/>
  <c r="I357" i="27"/>
  <c r="O356" i="27"/>
  <c r="N356" i="27"/>
  <c r="M356" i="27"/>
  <c r="L356" i="27"/>
  <c r="J356" i="27"/>
  <c r="I356" i="27"/>
  <c r="O355" i="27"/>
  <c r="N355" i="27"/>
  <c r="M355" i="27"/>
  <c r="L355" i="27"/>
  <c r="J355" i="27"/>
  <c r="I355" i="27"/>
  <c r="O354" i="27"/>
  <c r="N354" i="27"/>
  <c r="M354" i="27"/>
  <c r="L354" i="27"/>
  <c r="J354" i="27"/>
  <c r="I354" i="27"/>
  <c r="O353" i="27"/>
  <c r="N353" i="27"/>
  <c r="M353" i="27"/>
  <c r="L353" i="27"/>
  <c r="J353" i="27"/>
  <c r="I353" i="27"/>
  <c r="O352" i="27"/>
  <c r="N352" i="27"/>
  <c r="M352" i="27"/>
  <c r="L352" i="27"/>
  <c r="J352" i="27"/>
  <c r="I352" i="27"/>
  <c r="O351" i="27"/>
  <c r="N351" i="27"/>
  <c r="M351" i="27"/>
  <c r="L351" i="27"/>
  <c r="J351" i="27"/>
  <c r="I351" i="27"/>
  <c r="O350" i="27"/>
  <c r="N350" i="27"/>
  <c r="M350" i="27"/>
  <c r="L350" i="27"/>
  <c r="J350" i="27"/>
  <c r="I350" i="27"/>
  <c r="O349" i="27"/>
  <c r="N349" i="27"/>
  <c r="M349" i="27"/>
  <c r="L349" i="27"/>
  <c r="J349" i="27"/>
  <c r="I349" i="27"/>
  <c r="O348" i="27"/>
  <c r="N348" i="27"/>
  <c r="M348" i="27"/>
  <c r="L348" i="27"/>
  <c r="J348" i="27"/>
  <c r="I348" i="27"/>
  <c r="O347" i="27"/>
  <c r="N347" i="27"/>
  <c r="M347" i="27"/>
  <c r="L347" i="27"/>
  <c r="J347" i="27"/>
  <c r="I347" i="27"/>
  <c r="O346" i="27"/>
  <c r="N346" i="27"/>
  <c r="M346" i="27"/>
  <c r="L346" i="27"/>
  <c r="J346" i="27"/>
  <c r="I346" i="27"/>
  <c r="O345" i="27"/>
  <c r="N345" i="27"/>
  <c r="M345" i="27"/>
  <c r="L345" i="27"/>
  <c r="J345" i="27"/>
  <c r="I345" i="27"/>
  <c r="O344" i="27"/>
  <c r="N344" i="27"/>
  <c r="M344" i="27"/>
  <c r="L344" i="27"/>
  <c r="J344" i="27"/>
  <c r="I344" i="27"/>
  <c r="O343" i="27"/>
  <c r="N343" i="27"/>
  <c r="M343" i="27"/>
  <c r="L343" i="27"/>
  <c r="J343" i="27"/>
  <c r="I343" i="27"/>
  <c r="O342" i="27"/>
  <c r="N342" i="27"/>
  <c r="M342" i="27"/>
  <c r="L342" i="27"/>
  <c r="J342" i="27"/>
  <c r="I342" i="27"/>
  <c r="O341" i="27"/>
  <c r="N341" i="27"/>
  <c r="M341" i="27"/>
  <c r="L341" i="27"/>
  <c r="J341" i="27"/>
  <c r="I341" i="27"/>
  <c r="O340" i="27"/>
  <c r="N340" i="27"/>
  <c r="M340" i="27"/>
  <c r="L340" i="27"/>
  <c r="J340" i="27"/>
  <c r="I340" i="27"/>
  <c r="O339" i="27"/>
  <c r="N339" i="27"/>
  <c r="M339" i="27"/>
  <c r="L339" i="27"/>
  <c r="J339" i="27"/>
  <c r="I339" i="27"/>
  <c r="O338" i="27"/>
  <c r="N338" i="27"/>
  <c r="M338" i="27"/>
  <c r="L338" i="27"/>
  <c r="J338" i="27"/>
  <c r="I338" i="27"/>
  <c r="O337" i="27"/>
  <c r="N337" i="27"/>
  <c r="M337" i="27"/>
  <c r="L337" i="27"/>
  <c r="J337" i="27"/>
  <c r="I337" i="27"/>
  <c r="O336" i="27"/>
  <c r="N336" i="27"/>
  <c r="M336" i="27"/>
  <c r="L336" i="27"/>
  <c r="J336" i="27"/>
  <c r="I336" i="27"/>
  <c r="O335" i="27"/>
  <c r="N335" i="27"/>
  <c r="M335" i="27"/>
  <c r="L335" i="27"/>
  <c r="J335" i="27"/>
  <c r="I335" i="27"/>
  <c r="O334" i="27"/>
  <c r="N334" i="27"/>
  <c r="M334" i="27"/>
  <c r="L334" i="27"/>
  <c r="J334" i="27"/>
  <c r="I334" i="27"/>
  <c r="O333" i="27"/>
  <c r="N333" i="27"/>
  <c r="M333" i="27"/>
  <c r="L333" i="27"/>
  <c r="J333" i="27"/>
  <c r="I333" i="27"/>
  <c r="O332" i="27"/>
  <c r="N332" i="27"/>
  <c r="M332" i="27"/>
  <c r="L332" i="27"/>
  <c r="J332" i="27"/>
  <c r="I332" i="27"/>
  <c r="O331" i="27"/>
  <c r="N331" i="27"/>
  <c r="M331" i="27"/>
  <c r="L331" i="27"/>
  <c r="J331" i="27"/>
  <c r="I331" i="27"/>
  <c r="O330" i="27"/>
  <c r="N330" i="27"/>
  <c r="M330" i="27"/>
  <c r="L330" i="27"/>
  <c r="J330" i="27"/>
  <c r="I330" i="27"/>
  <c r="O329" i="27"/>
  <c r="N329" i="27"/>
  <c r="M329" i="27"/>
  <c r="L329" i="27"/>
  <c r="J329" i="27"/>
  <c r="I329" i="27"/>
  <c r="O328" i="27"/>
  <c r="N328" i="27"/>
  <c r="M328" i="27"/>
  <c r="L328" i="27"/>
  <c r="J328" i="27"/>
  <c r="I328" i="27"/>
  <c r="O327" i="27"/>
  <c r="N327" i="27"/>
  <c r="M327" i="27"/>
  <c r="L327" i="27"/>
  <c r="J327" i="27"/>
  <c r="I327" i="27"/>
  <c r="O326" i="27"/>
  <c r="N326" i="27"/>
  <c r="M326" i="27"/>
  <c r="L326" i="27"/>
  <c r="J326" i="27"/>
  <c r="I326" i="27"/>
  <c r="O325" i="27"/>
  <c r="N325" i="27"/>
  <c r="M325" i="27"/>
  <c r="L325" i="27"/>
  <c r="J325" i="27"/>
  <c r="I325" i="27"/>
  <c r="O324" i="27"/>
  <c r="N324" i="27"/>
  <c r="M324" i="27"/>
  <c r="L324" i="27"/>
  <c r="J324" i="27"/>
  <c r="I324" i="27"/>
  <c r="O323" i="27"/>
  <c r="N323" i="27"/>
  <c r="M323" i="27"/>
  <c r="L323" i="27"/>
  <c r="J323" i="27"/>
  <c r="I323" i="27"/>
  <c r="O322" i="27"/>
  <c r="N322" i="27"/>
  <c r="M322" i="27"/>
  <c r="L322" i="27"/>
  <c r="J322" i="27"/>
  <c r="I322" i="27"/>
  <c r="O321" i="27"/>
  <c r="N321" i="27"/>
  <c r="M321" i="27"/>
  <c r="L321" i="27"/>
  <c r="J321" i="27"/>
  <c r="I321" i="27"/>
  <c r="O320" i="27"/>
  <c r="N320" i="27"/>
  <c r="M320" i="27"/>
  <c r="L320" i="27"/>
  <c r="J320" i="27"/>
  <c r="I320" i="27"/>
  <c r="O319" i="27"/>
  <c r="N319" i="27"/>
  <c r="M319" i="27"/>
  <c r="L319" i="27"/>
  <c r="J319" i="27"/>
  <c r="I319" i="27"/>
  <c r="O318" i="27"/>
  <c r="N318" i="27"/>
  <c r="M318" i="27"/>
  <c r="L318" i="27"/>
  <c r="J318" i="27"/>
  <c r="I318" i="27"/>
  <c r="O317" i="27"/>
  <c r="N317" i="27"/>
  <c r="M317" i="27"/>
  <c r="L317" i="27"/>
  <c r="J317" i="27"/>
  <c r="I317" i="27"/>
  <c r="O316" i="27"/>
  <c r="N316" i="27"/>
  <c r="M316" i="27"/>
  <c r="L316" i="27"/>
  <c r="J316" i="27"/>
  <c r="I316" i="27"/>
  <c r="O315" i="27"/>
  <c r="N315" i="27"/>
  <c r="M315" i="27"/>
  <c r="L315" i="27"/>
  <c r="J315" i="27"/>
  <c r="I315" i="27"/>
  <c r="O314" i="27"/>
  <c r="N314" i="27"/>
  <c r="M314" i="27"/>
  <c r="L314" i="27"/>
  <c r="J314" i="27"/>
  <c r="I314" i="27"/>
  <c r="O313" i="27"/>
  <c r="N313" i="27"/>
  <c r="M313" i="27"/>
  <c r="L313" i="27"/>
  <c r="J313" i="27"/>
  <c r="I313" i="27"/>
  <c r="O312" i="27"/>
  <c r="N312" i="27"/>
  <c r="M312" i="27"/>
  <c r="L312" i="27"/>
  <c r="J312" i="27"/>
  <c r="I312" i="27"/>
  <c r="O311" i="27"/>
  <c r="N311" i="27"/>
  <c r="M311" i="27"/>
  <c r="L311" i="27"/>
  <c r="J311" i="27"/>
  <c r="I311" i="27"/>
  <c r="O310" i="27"/>
  <c r="N310" i="27"/>
  <c r="M310" i="27"/>
  <c r="L310" i="27"/>
  <c r="J310" i="27"/>
  <c r="I310" i="27"/>
  <c r="O309" i="27"/>
  <c r="N309" i="27"/>
  <c r="M309" i="27"/>
  <c r="L309" i="27"/>
  <c r="J309" i="27"/>
  <c r="I309" i="27"/>
  <c r="O308" i="27"/>
  <c r="N308" i="27"/>
  <c r="M308" i="27"/>
  <c r="L308" i="27"/>
  <c r="J308" i="27"/>
  <c r="I308" i="27"/>
  <c r="O307" i="27"/>
  <c r="N307" i="27"/>
  <c r="M307" i="27"/>
  <c r="L307" i="27"/>
  <c r="J307" i="27"/>
  <c r="I307" i="27"/>
  <c r="O306" i="27"/>
  <c r="N306" i="27"/>
  <c r="M306" i="27"/>
  <c r="L306" i="27"/>
  <c r="J306" i="27"/>
  <c r="I306" i="27"/>
  <c r="O305" i="27"/>
  <c r="N305" i="27"/>
  <c r="M305" i="27"/>
  <c r="L305" i="27"/>
  <c r="J305" i="27"/>
  <c r="I305" i="27"/>
  <c r="O304" i="27"/>
  <c r="N304" i="27"/>
  <c r="M304" i="27"/>
  <c r="L304" i="27"/>
  <c r="J304" i="27"/>
  <c r="I304" i="27"/>
  <c r="O303" i="27"/>
  <c r="N303" i="27"/>
  <c r="M303" i="27"/>
  <c r="L303" i="27"/>
  <c r="J303" i="27"/>
  <c r="I303" i="27"/>
  <c r="O302" i="27"/>
  <c r="N302" i="27"/>
  <c r="M302" i="27"/>
  <c r="L302" i="27"/>
  <c r="J302" i="27"/>
  <c r="I302" i="27"/>
  <c r="O301" i="27"/>
  <c r="N301" i="27"/>
  <c r="M301" i="27"/>
  <c r="L301" i="27"/>
  <c r="J301" i="27"/>
  <c r="I301" i="27"/>
  <c r="O300" i="27"/>
  <c r="N300" i="27"/>
  <c r="M300" i="27"/>
  <c r="L300" i="27"/>
  <c r="J300" i="27"/>
  <c r="I300" i="27"/>
  <c r="O299" i="27"/>
  <c r="N299" i="27"/>
  <c r="M299" i="27"/>
  <c r="L299" i="27"/>
  <c r="J299" i="27"/>
  <c r="I299" i="27"/>
  <c r="O298" i="27"/>
  <c r="N298" i="27"/>
  <c r="M298" i="27"/>
  <c r="L298" i="27"/>
  <c r="J298" i="27"/>
  <c r="I298" i="27"/>
  <c r="O297" i="27"/>
  <c r="N297" i="27"/>
  <c r="M297" i="27"/>
  <c r="L297" i="27"/>
  <c r="J297" i="27"/>
  <c r="I297" i="27"/>
  <c r="O296" i="27"/>
  <c r="N296" i="27"/>
  <c r="M296" i="27"/>
  <c r="L296" i="27"/>
  <c r="J296" i="27"/>
  <c r="I296" i="27"/>
  <c r="O295" i="27"/>
  <c r="N295" i="27"/>
  <c r="M295" i="27"/>
  <c r="L295" i="27"/>
  <c r="J295" i="27"/>
  <c r="I295" i="27"/>
  <c r="O294" i="27"/>
  <c r="N294" i="27"/>
  <c r="M294" i="27"/>
  <c r="L294" i="27"/>
  <c r="J294" i="27"/>
  <c r="I294" i="27"/>
  <c r="O293" i="27"/>
  <c r="N293" i="27"/>
  <c r="M293" i="27"/>
  <c r="L293" i="27"/>
  <c r="J293" i="27"/>
  <c r="I293" i="27"/>
  <c r="O292" i="27"/>
  <c r="N292" i="27"/>
  <c r="M292" i="27"/>
  <c r="L292" i="27"/>
  <c r="J292" i="27"/>
  <c r="I292" i="27"/>
  <c r="O291" i="27"/>
  <c r="N291" i="27"/>
  <c r="M291" i="27"/>
  <c r="L291" i="27"/>
  <c r="J291" i="27"/>
  <c r="I291" i="27"/>
  <c r="O290" i="27"/>
  <c r="N290" i="27"/>
  <c r="M290" i="27"/>
  <c r="L290" i="27"/>
  <c r="J290" i="27"/>
  <c r="I290" i="27"/>
  <c r="O289" i="27"/>
  <c r="N289" i="27"/>
  <c r="M289" i="27"/>
  <c r="L289" i="27"/>
  <c r="J289" i="27"/>
  <c r="I289" i="27"/>
  <c r="O288" i="27"/>
  <c r="N288" i="27"/>
  <c r="M288" i="27"/>
  <c r="L288" i="27"/>
  <c r="J288" i="27"/>
  <c r="I288" i="27"/>
  <c r="O287" i="27"/>
  <c r="N287" i="27"/>
  <c r="M287" i="27"/>
  <c r="L287" i="27"/>
  <c r="J287" i="27"/>
  <c r="I287" i="27"/>
  <c r="O286" i="27"/>
  <c r="N286" i="27"/>
  <c r="M286" i="27"/>
  <c r="L286" i="27"/>
  <c r="J286" i="27"/>
  <c r="I286" i="27"/>
  <c r="O285" i="27"/>
  <c r="N285" i="27"/>
  <c r="M285" i="27"/>
  <c r="L285" i="27"/>
  <c r="J285" i="27"/>
  <c r="I285" i="27"/>
  <c r="O284" i="27"/>
  <c r="N284" i="27"/>
  <c r="M284" i="27"/>
  <c r="L284" i="27"/>
  <c r="J284" i="27"/>
  <c r="I284" i="27"/>
  <c r="O283" i="27"/>
  <c r="N283" i="27"/>
  <c r="M283" i="27"/>
  <c r="L283" i="27"/>
  <c r="J283" i="27"/>
  <c r="I283" i="27"/>
  <c r="O282" i="27"/>
  <c r="N282" i="27"/>
  <c r="M282" i="27"/>
  <c r="L282" i="27"/>
  <c r="J282" i="27"/>
  <c r="I282" i="27"/>
  <c r="O281" i="27"/>
  <c r="N281" i="27"/>
  <c r="M281" i="27"/>
  <c r="L281" i="27"/>
  <c r="J281" i="27"/>
  <c r="I281" i="27"/>
  <c r="O280" i="27"/>
  <c r="N280" i="27"/>
  <c r="M280" i="27"/>
  <c r="L280" i="27"/>
  <c r="J280" i="27"/>
  <c r="I280" i="27"/>
  <c r="O279" i="27"/>
  <c r="N279" i="27"/>
  <c r="M279" i="27"/>
  <c r="L279" i="27"/>
  <c r="J279" i="27"/>
  <c r="I279" i="27"/>
  <c r="O278" i="27"/>
  <c r="N278" i="27"/>
  <c r="M278" i="27"/>
  <c r="L278" i="27"/>
  <c r="J278" i="27"/>
  <c r="I278" i="27"/>
  <c r="O277" i="27"/>
  <c r="N277" i="27"/>
  <c r="M277" i="27"/>
  <c r="L277" i="27"/>
  <c r="J277" i="27"/>
  <c r="I277" i="27"/>
  <c r="O276" i="27"/>
  <c r="N276" i="27"/>
  <c r="M276" i="27"/>
  <c r="L276" i="27"/>
  <c r="J276" i="27"/>
  <c r="I276" i="27"/>
  <c r="O275" i="27"/>
  <c r="N275" i="27"/>
  <c r="M275" i="27"/>
  <c r="L275" i="27"/>
  <c r="J275" i="27"/>
  <c r="I275" i="27"/>
  <c r="O274" i="27"/>
  <c r="N274" i="27"/>
  <c r="M274" i="27"/>
  <c r="L274" i="27"/>
  <c r="J274" i="27"/>
  <c r="I274" i="27"/>
  <c r="O273" i="27"/>
  <c r="N273" i="27"/>
  <c r="M273" i="27"/>
  <c r="L273" i="27"/>
  <c r="J273" i="27"/>
  <c r="I273" i="27"/>
  <c r="O272" i="27"/>
  <c r="N272" i="27"/>
  <c r="M272" i="27"/>
  <c r="L272" i="27"/>
  <c r="J272" i="27"/>
  <c r="I272" i="27"/>
  <c r="O271" i="27"/>
  <c r="N271" i="27"/>
  <c r="M271" i="27"/>
  <c r="L271" i="27"/>
  <c r="J271" i="27"/>
  <c r="I271" i="27"/>
  <c r="O270" i="27"/>
  <c r="N270" i="27"/>
  <c r="M270" i="27"/>
  <c r="L270" i="27"/>
  <c r="J270" i="27"/>
  <c r="I270" i="27"/>
  <c r="O269" i="27"/>
  <c r="N269" i="27"/>
  <c r="M269" i="27"/>
  <c r="L269" i="27"/>
  <c r="J269" i="27"/>
  <c r="I269" i="27"/>
  <c r="O268" i="27"/>
  <c r="N268" i="27"/>
  <c r="M268" i="27"/>
  <c r="L268" i="27"/>
  <c r="J268" i="27"/>
  <c r="I268" i="27"/>
  <c r="O267" i="27"/>
  <c r="N267" i="27"/>
  <c r="M267" i="27"/>
  <c r="L267" i="27"/>
  <c r="J267" i="27"/>
  <c r="I267" i="27"/>
  <c r="O266" i="27"/>
  <c r="N266" i="27"/>
  <c r="M266" i="27"/>
  <c r="L266" i="27"/>
  <c r="J266" i="27"/>
  <c r="I266" i="27"/>
  <c r="O265" i="27"/>
  <c r="N265" i="27"/>
  <c r="M265" i="27"/>
  <c r="L265" i="27"/>
  <c r="J265" i="27"/>
  <c r="I265" i="27"/>
  <c r="O264" i="27"/>
  <c r="N264" i="27"/>
  <c r="M264" i="27"/>
  <c r="L264" i="27"/>
  <c r="J264" i="27"/>
  <c r="I264" i="27"/>
  <c r="O263" i="27"/>
  <c r="N263" i="27"/>
  <c r="M263" i="27"/>
  <c r="L263" i="27"/>
  <c r="J263" i="27"/>
  <c r="I263" i="27"/>
  <c r="O262" i="27"/>
  <c r="N262" i="27"/>
  <c r="M262" i="27"/>
  <c r="L262" i="27"/>
  <c r="J262" i="27"/>
  <c r="I262" i="27"/>
  <c r="O261" i="27"/>
  <c r="N261" i="27"/>
  <c r="M261" i="27"/>
  <c r="L261" i="27"/>
  <c r="J261" i="27"/>
  <c r="I261" i="27"/>
  <c r="O260" i="27"/>
  <c r="N260" i="27"/>
  <c r="M260" i="27"/>
  <c r="L260" i="27"/>
  <c r="J260" i="27"/>
  <c r="I260" i="27"/>
  <c r="O259" i="27"/>
  <c r="N259" i="27"/>
  <c r="M259" i="27"/>
  <c r="L259" i="27"/>
  <c r="J259" i="27"/>
  <c r="I259" i="27"/>
  <c r="O258" i="27"/>
  <c r="N258" i="27"/>
  <c r="M258" i="27"/>
  <c r="L258" i="27"/>
  <c r="J258" i="27"/>
  <c r="I258" i="27"/>
  <c r="O257" i="27"/>
  <c r="N257" i="27"/>
  <c r="M257" i="27"/>
  <c r="L257" i="27"/>
  <c r="J257" i="27"/>
  <c r="I257" i="27"/>
  <c r="O256" i="27"/>
  <c r="N256" i="27"/>
  <c r="M256" i="27"/>
  <c r="L256" i="27"/>
  <c r="J256" i="27"/>
  <c r="I256" i="27"/>
  <c r="O255" i="27"/>
  <c r="N255" i="27"/>
  <c r="M255" i="27"/>
  <c r="L255" i="27"/>
  <c r="J255" i="27"/>
  <c r="I255" i="27"/>
  <c r="O254" i="27"/>
  <c r="N254" i="27"/>
  <c r="M254" i="27"/>
  <c r="L254" i="27"/>
  <c r="J254" i="27"/>
  <c r="I254" i="27"/>
  <c r="O253" i="27"/>
  <c r="N253" i="27"/>
  <c r="M253" i="27"/>
  <c r="L253" i="27"/>
  <c r="J253" i="27"/>
  <c r="I253" i="27"/>
  <c r="O252" i="27"/>
  <c r="N252" i="27"/>
  <c r="M252" i="27"/>
  <c r="L252" i="27"/>
  <c r="J252" i="27"/>
  <c r="I252" i="27"/>
  <c r="O251" i="27"/>
  <c r="N251" i="27"/>
  <c r="M251" i="27"/>
  <c r="L251" i="27"/>
  <c r="J251" i="27"/>
  <c r="I251" i="27"/>
  <c r="O250" i="27"/>
  <c r="N250" i="27"/>
  <c r="M250" i="27"/>
  <c r="L250" i="27"/>
  <c r="J250" i="27"/>
  <c r="I250" i="27"/>
  <c r="O249" i="27"/>
  <c r="N249" i="27"/>
  <c r="M249" i="27"/>
  <c r="L249" i="27"/>
  <c r="J249" i="27"/>
  <c r="I249" i="27"/>
  <c r="O248" i="27"/>
  <c r="N248" i="27"/>
  <c r="M248" i="27"/>
  <c r="L248" i="27"/>
  <c r="J248" i="27"/>
  <c r="I248" i="27"/>
  <c r="O247" i="27"/>
  <c r="N247" i="27"/>
  <c r="M247" i="27"/>
  <c r="L247" i="27"/>
  <c r="J247" i="27"/>
  <c r="I247" i="27"/>
  <c r="O246" i="27"/>
  <c r="N246" i="27"/>
  <c r="M246" i="27"/>
  <c r="L246" i="27"/>
  <c r="J246" i="27"/>
  <c r="I246" i="27"/>
  <c r="O245" i="27"/>
  <c r="N245" i="27"/>
  <c r="M245" i="27"/>
  <c r="L245" i="27"/>
  <c r="J245" i="27"/>
  <c r="I245" i="27"/>
  <c r="O244" i="27"/>
  <c r="N244" i="27"/>
  <c r="M244" i="27"/>
  <c r="L244" i="27"/>
  <c r="J244" i="27"/>
  <c r="I244" i="27"/>
  <c r="O243" i="27"/>
  <c r="N243" i="27"/>
  <c r="M243" i="27"/>
  <c r="L243" i="27"/>
  <c r="J243" i="27"/>
  <c r="I243" i="27"/>
  <c r="O242" i="27"/>
  <c r="N242" i="27"/>
  <c r="M242" i="27"/>
  <c r="L242" i="27"/>
  <c r="J242" i="27"/>
  <c r="I242" i="27"/>
  <c r="O241" i="27"/>
  <c r="N241" i="27"/>
  <c r="M241" i="27"/>
  <c r="L241" i="27"/>
  <c r="J241" i="27"/>
  <c r="I241" i="27"/>
  <c r="O240" i="27"/>
  <c r="N240" i="27"/>
  <c r="M240" i="27"/>
  <c r="L240" i="27"/>
  <c r="J240" i="27"/>
  <c r="I240" i="27"/>
  <c r="O239" i="27"/>
  <c r="N239" i="27"/>
  <c r="M239" i="27"/>
  <c r="L239" i="27"/>
  <c r="J239" i="27"/>
  <c r="I239" i="27"/>
  <c r="O238" i="27"/>
  <c r="N238" i="27"/>
  <c r="M238" i="27"/>
  <c r="L238" i="27"/>
  <c r="J238" i="27"/>
  <c r="I238" i="27"/>
  <c r="O237" i="27"/>
  <c r="N237" i="27"/>
  <c r="M237" i="27"/>
  <c r="L237" i="27"/>
  <c r="J237" i="27"/>
  <c r="I237" i="27"/>
  <c r="O236" i="27"/>
  <c r="N236" i="27"/>
  <c r="M236" i="27"/>
  <c r="L236" i="27"/>
  <c r="J236" i="27"/>
  <c r="I236" i="27"/>
  <c r="O235" i="27"/>
  <c r="N235" i="27"/>
  <c r="M235" i="27"/>
  <c r="L235" i="27"/>
  <c r="J235" i="27"/>
  <c r="I235" i="27"/>
  <c r="O234" i="27"/>
  <c r="N234" i="27"/>
  <c r="M234" i="27"/>
  <c r="L234" i="27"/>
  <c r="J234" i="27"/>
  <c r="I234" i="27"/>
  <c r="O233" i="27"/>
  <c r="N233" i="27"/>
  <c r="M233" i="27"/>
  <c r="L233" i="27"/>
  <c r="J233" i="27"/>
  <c r="I233" i="27"/>
  <c r="O232" i="27"/>
  <c r="N232" i="27"/>
  <c r="M232" i="27"/>
  <c r="L232" i="27"/>
  <c r="J232" i="27"/>
  <c r="I232" i="27"/>
  <c r="O231" i="27"/>
  <c r="N231" i="27"/>
  <c r="M231" i="27"/>
  <c r="L231" i="27"/>
  <c r="J231" i="27"/>
  <c r="I231" i="27"/>
  <c r="O230" i="27"/>
  <c r="N230" i="27"/>
  <c r="M230" i="27"/>
  <c r="L230" i="27"/>
  <c r="J230" i="27"/>
  <c r="I230" i="27"/>
  <c r="O229" i="27"/>
  <c r="N229" i="27"/>
  <c r="M229" i="27"/>
  <c r="L229" i="27"/>
  <c r="J229" i="27"/>
  <c r="I229" i="27"/>
  <c r="O228" i="27"/>
  <c r="N228" i="27"/>
  <c r="M228" i="27"/>
  <c r="L228" i="27"/>
  <c r="J228" i="27"/>
  <c r="I228" i="27"/>
  <c r="O227" i="27"/>
  <c r="N227" i="27"/>
  <c r="M227" i="27"/>
  <c r="L227" i="27"/>
  <c r="J227" i="27"/>
  <c r="I227" i="27"/>
  <c r="O226" i="27"/>
  <c r="N226" i="27"/>
  <c r="M226" i="27"/>
  <c r="L226" i="27"/>
  <c r="J226" i="27"/>
  <c r="I226" i="27"/>
  <c r="O225" i="27"/>
  <c r="N225" i="27"/>
  <c r="M225" i="27"/>
  <c r="L225" i="27"/>
  <c r="J225" i="27"/>
  <c r="I225" i="27"/>
  <c r="O224" i="27"/>
  <c r="N224" i="27"/>
  <c r="M224" i="27"/>
  <c r="L224" i="27"/>
  <c r="J224" i="27"/>
  <c r="I224" i="27"/>
  <c r="O223" i="27"/>
  <c r="N223" i="27"/>
  <c r="M223" i="27"/>
  <c r="L223" i="27"/>
  <c r="J223" i="27"/>
  <c r="I223" i="27"/>
  <c r="O222" i="27"/>
  <c r="N222" i="27"/>
  <c r="M222" i="27"/>
  <c r="L222" i="27"/>
  <c r="J222" i="27"/>
  <c r="I222" i="27"/>
  <c r="O221" i="27"/>
  <c r="N221" i="27"/>
  <c r="M221" i="27"/>
  <c r="L221" i="27"/>
  <c r="J221" i="27"/>
  <c r="I221" i="27"/>
  <c r="O220" i="27"/>
  <c r="N220" i="27"/>
  <c r="M220" i="27"/>
  <c r="L220" i="27"/>
  <c r="J220" i="27"/>
  <c r="I220" i="27"/>
  <c r="O219" i="27"/>
  <c r="N219" i="27"/>
  <c r="M219" i="27"/>
  <c r="L219" i="27"/>
  <c r="J219" i="27"/>
  <c r="I219" i="27"/>
  <c r="O218" i="27"/>
  <c r="N218" i="27"/>
  <c r="M218" i="27"/>
  <c r="L218" i="27"/>
  <c r="J218" i="27"/>
  <c r="I218" i="27"/>
  <c r="O217" i="27"/>
  <c r="N217" i="27"/>
  <c r="M217" i="27"/>
  <c r="L217" i="27"/>
  <c r="J217" i="27"/>
  <c r="I217" i="27"/>
  <c r="O216" i="27"/>
  <c r="N216" i="27"/>
  <c r="M216" i="27"/>
  <c r="L216" i="27"/>
  <c r="J216" i="27"/>
  <c r="I216" i="27"/>
  <c r="O215" i="27"/>
  <c r="N215" i="27"/>
  <c r="M215" i="27"/>
  <c r="L215" i="27"/>
  <c r="J215" i="27"/>
  <c r="I215" i="27"/>
  <c r="O214" i="27"/>
  <c r="N214" i="27"/>
  <c r="M214" i="27"/>
  <c r="L214" i="27"/>
  <c r="J214" i="27"/>
  <c r="I214" i="27"/>
  <c r="O213" i="27"/>
  <c r="N213" i="27"/>
  <c r="M213" i="27"/>
  <c r="L213" i="27"/>
  <c r="J213" i="27"/>
  <c r="I213" i="27"/>
  <c r="O212" i="27"/>
  <c r="N212" i="27"/>
  <c r="M212" i="27"/>
  <c r="L212" i="27"/>
  <c r="J212" i="27"/>
  <c r="I212" i="27"/>
  <c r="O211" i="27"/>
  <c r="N211" i="27"/>
  <c r="M211" i="27"/>
  <c r="L211" i="27"/>
  <c r="J211" i="27"/>
  <c r="I211" i="27"/>
  <c r="O210" i="27"/>
  <c r="N210" i="27"/>
  <c r="M210" i="27"/>
  <c r="L210" i="27"/>
  <c r="J210" i="27"/>
  <c r="I210" i="27"/>
  <c r="O209" i="27"/>
  <c r="N209" i="27"/>
  <c r="M209" i="27"/>
  <c r="L209" i="27"/>
  <c r="J209" i="27"/>
  <c r="I209" i="27"/>
  <c r="O208" i="27"/>
  <c r="N208" i="27"/>
  <c r="M208" i="27"/>
  <c r="L208" i="27"/>
  <c r="J208" i="27"/>
  <c r="I208" i="27"/>
  <c r="O207" i="27"/>
  <c r="N207" i="27"/>
  <c r="M207" i="27"/>
  <c r="L207" i="27"/>
  <c r="J207" i="27"/>
  <c r="I207" i="27"/>
  <c r="O206" i="27"/>
  <c r="N206" i="27"/>
  <c r="M206" i="27"/>
  <c r="L206" i="27"/>
  <c r="J206" i="27"/>
  <c r="I206" i="27"/>
  <c r="O205" i="27"/>
  <c r="N205" i="27"/>
  <c r="M205" i="27"/>
  <c r="L205" i="27"/>
  <c r="J205" i="27"/>
  <c r="I205" i="27"/>
  <c r="O204" i="27"/>
  <c r="N204" i="27"/>
  <c r="M204" i="27"/>
  <c r="L204" i="27"/>
  <c r="J204" i="27"/>
  <c r="I204" i="27"/>
  <c r="O203" i="27"/>
  <c r="N203" i="27"/>
  <c r="M203" i="27"/>
  <c r="L203" i="27"/>
  <c r="J203" i="27"/>
  <c r="I203" i="27"/>
  <c r="O202" i="27"/>
  <c r="N202" i="27"/>
  <c r="M202" i="27"/>
  <c r="L202" i="27"/>
  <c r="J202" i="27"/>
  <c r="I202" i="27"/>
  <c r="O201" i="27"/>
  <c r="N201" i="27"/>
  <c r="M201" i="27"/>
  <c r="L201" i="27"/>
  <c r="J201" i="27"/>
  <c r="I201" i="27"/>
  <c r="O200" i="27"/>
  <c r="N200" i="27"/>
  <c r="M200" i="27"/>
  <c r="L200" i="27"/>
  <c r="J200" i="27"/>
  <c r="I200" i="27"/>
  <c r="O199" i="27"/>
  <c r="N199" i="27"/>
  <c r="M199" i="27"/>
  <c r="L199" i="27"/>
  <c r="J199" i="27"/>
  <c r="I199" i="27"/>
  <c r="O198" i="27"/>
  <c r="N198" i="27"/>
  <c r="M198" i="27"/>
  <c r="L198" i="27"/>
  <c r="J198" i="27"/>
  <c r="I198" i="27"/>
  <c r="O197" i="27"/>
  <c r="N197" i="27"/>
  <c r="M197" i="27"/>
  <c r="L197" i="27"/>
  <c r="J197" i="27"/>
  <c r="I197" i="27"/>
  <c r="O196" i="27"/>
  <c r="N196" i="27"/>
  <c r="M196" i="27"/>
  <c r="L196" i="27"/>
  <c r="J196" i="27"/>
  <c r="I196" i="27"/>
  <c r="O195" i="27"/>
  <c r="N195" i="27"/>
  <c r="M195" i="27"/>
  <c r="L195" i="27"/>
  <c r="J195" i="27"/>
  <c r="I195" i="27"/>
  <c r="O194" i="27"/>
  <c r="N194" i="27"/>
  <c r="M194" i="27"/>
  <c r="L194" i="27"/>
  <c r="J194" i="27"/>
  <c r="I194" i="27"/>
  <c r="O193" i="27"/>
  <c r="N193" i="27"/>
  <c r="M193" i="27"/>
  <c r="L193" i="27"/>
  <c r="J193" i="27"/>
  <c r="I193" i="27"/>
  <c r="O192" i="27"/>
  <c r="N192" i="27"/>
  <c r="M192" i="27"/>
  <c r="L192" i="27"/>
  <c r="J192" i="27"/>
  <c r="I192" i="27"/>
  <c r="O191" i="27"/>
  <c r="N191" i="27"/>
  <c r="M191" i="27"/>
  <c r="L191" i="27"/>
  <c r="J191" i="27"/>
  <c r="I191" i="27"/>
  <c r="O190" i="27"/>
  <c r="N190" i="27"/>
  <c r="M190" i="27"/>
  <c r="L190" i="27"/>
  <c r="J190" i="27"/>
  <c r="I190" i="27"/>
  <c r="O189" i="27"/>
  <c r="N189" i="27"/>
  <c r="M189" i="27"/>
  <c r="L189" i="27"/>
  <c r="J189" i="27"/>
  <c r="I189" i="27"/>
  <c r="O188" i="27"/>
  <c r="N188" i="27"/>
  <c r="M188" i="27"/>
  <c r="L188" i="27"/>
  <c r="J188" i="27"/>
  <c r="I188" i="27"/>
  <c r="O187" i="27"/>
  <c r="N187" i="27"/>
  <c r="M187" i="27"/>
  <c r="L187" i="27"/>
  <c r="J187" i="27"/>
  <c r="I187" i="27"/>
  <c r="O186" i="27"/>
  <c r="N186" i="27"/>
  <c r="M186" i="27"/>
  <c r="L186" i="27"/>
  <c r="J186" i="27"/>
  <c r="I186" i="27"/>
  <c r="O185" i="27"/>
  <c r="N185" i="27"/>
  <c r="M185" i="27"/>
  <c r="L185" i="27"/>
  <c r="J185" i="27"/>
  <c r="I185" i="27"/>
  <c r="O184" i="27"/>
  <c r="N184" i="27"/>
  <c r="M184" i="27"/>
  <c r="L184" i="27"/>
  <c r="J184" i="27"/>
  <c r="I184" i="27"/>
  <c r="O183" i="27"/>
  <c r="N183" i="27"/>
  <c r="M183" i="27"/>
  <c r="L183" i="27"/>
  <c r="J183" i="27"/>
  <c r="I183" i="27"/>
  <c r="O182" i="27"/>
  <c r="N182" i="27"/>
  <c r="M182" i="27"/>
  <c r="L182" i="27"/>
  <c r="J182" i="27"/>
  <c r="I182" i="27"/>
  <c r="O181" i="27"/>
  <c r="N181" i="27"/>
  <c r="M181" i="27"/>
  <c r="L181" i="27"/>
  <c r="J181" i="27"/>
  <c r="I181" i="27"/>
  <c r="O180" i="27"/>
  <c r="N180" i="27"/>
  <c r="M180" i="27"/>
  <c r="L180" i="27"/>
  <c r="J180" i="27"/>
  <c r="I180" i="27"/>
  <c r="O179" i="27"/>
  <c r="N179" i="27"/>
  <c r="M179" i="27"/>
  <c r="L179" i="27"/>
  <c r="J179" i="27"/>
  <c r="I179" i="27"/>
  <c r="O178" i="27"/>
  <c r="N178" i="27"/>
  <c r="M178" i="27"/>
  <c r="L178" i="27"/>
  <c r="J178" i="27"/>
  <c r="I178" i="27"/>
  <c r="O177" i="27"/>
  <c r="N177" i="27"/>
  <c r="M177" i="27"/>
  <c r="L177" i="27"/>
  <c r="J177" i="27"/>
  <c r="I177" i="27"/>
  <c r="O176" i="27"/>
  <c r="N176" i="27"/>
  <c r="M176" i="27"/>
  <c r="L176" i="27"/>
  <c r="J176" i="27"/>
  <c r="I176" i="27"/>
  <c r="O175" i="27"/>
  <c r="N175" i="27"/>
  <c r="M175" i="27"/>
  <c r="L175" i="27"/>
  <c r="J175" i="27"/>
  <c r="I175" i="27"/>
  <c r="O174" i="27"/>
  <c r="N174" i="27"/>
  <c r="M174" i="27"/>
  <c r="L174" i="27"/>
  <c r="J174" i="27"/>
  <c r="I174" i="27"/>
  <c r="O173" i="27"/>
  <c r="N173" i="27"/>
  <c r="M173" i="27"/>
  <c r="L173" i="27"/>
  <c r="J173" i="27"/>
  <c r="I173" i="27"/>
  <c r="O172" i="27"/>
  <c r="N172" i="27"/>
  <c r="M172" i="27"/>
  <c r="L172" i="27"/>
  <c r="J172" i="27"/>
  <c r="I172" i="27"/>
  <c r="O171" i="27"/>
  <c r="N171" i="27"/>
  <c r="M171" i="27"/>
  <c r="L171" i="27"/>
  <c r="J171" i="27"/>
  <c r="I171" i="27"/>
  <c r="O170" i="27"/>
  <c r="N170" i="27"/>
  <c r="M170" i="27"/>
  <c r="L170" i="27"/>
  <c r="J170" i="27"/>
  <c r="I170" i="27"/>
  <c r="O169" i="27"/>
  <c r="N169" i="27"/>
  <c r="M169" i="27"/>
  <c r="L169" i="27"/>
  <c r="J169" i="27"/>
  <c r="I169" i="27"/>
  <c r="O168" i="27"/>
  <c r="N168" i="27"/>
  <c r="M168" i="27"/>
  <c r="L168" i="27"/>
  <c r="J168" i="27"/>
  <c r="I168" i="27"/>
  <c r="O167" i="27"/>
  <c r="N167" i="27"/>
  <c r="M167" i="27"/>
  <c r="L167" i="27"/>
  <c r="J167" i="27"/>
  <c r="I167" i="27"/>
  <c r="O166" i="27"/>
  <c r="N166" i="27"/>
  <c r="M166" i="27"/>
  <c r="L166" i="27"/>
  <c r="J166" i="27"/>
  <c r="I166" i="27"/>
  <c r="O165" i="27"/>
  <c r="N165" i="27"/>
  <c r="M165" i="27"/>
  <c r="L165" i="27"/>
  <c r="J165" i="27"/>
  <c r="I165" i="27"/>
  <c r="O164" i="27"/>
  <c r="N164" i="27"/>
  <c r="M164" i="27"/>
  <c r="L164" i="27"/>
  <c r="J164" i="27"/>
  <c r="I164" i="27"/>
  <c r="O163" i="27"/>
  <c r="N163" i="27"/>
  <c r="M163" i="27"/>
  <c r="L163" i="27"/>
  <c r="J163" i="27"/>
  <c r="I163" i="27"/>
  <c r="O162" i="27"/>
  <c r="N162" i="27"/>
  <c r="M162" i="27"/>
  <c r="L162" i="27"/>
  <c r="J162" i="27"/>
  <c r="I162" i="27"/>
  <c r="O161" i="27"/>
  <c r="N161" i="27"/>
  <c r="M161" i="27"/>
  <c r="L161" i="27"/>
  <c r="J161" i="27"/>
  <c r="I161" i="27"/>
  <c r="O160" i="27"/>
  <c r="N160" i="27"/>
  <c r="M160" i="27"/>
  <c r="L160" i="27"/>
  <c r="J160" i="27"/>
  <c r="I160" i="27"/>
  <c r="O159" i="27"/>
  <c r="N159" i="27"/>
  <c r="M159" i="27"/>
  <c r="L159" i="27"/>
  <c r="J159" i="27"/>
  <c r="I159" i="27"/>
  <c r="O158" i="27"/>
  <c r="N158" i="27"/>
  <c r="M158" i="27"/>
  <c r="L158" i="27"/>
  <c r="J158" i="27"/>
  <c r="I158" i="27"/>
  <c r="O157" i="27"/>
  <c r="N157" i="27"/>
  <c r="M157" i="27"/>
  <c r="L157" i="27"/>
  <c r="J157" i="27"/>
  <c r="I157" i="27"/>
  <c r="O156" i="27"/>
  <c r="N156" i="27"/>
  <c r="M156" i="27"/>
  <c r="L156" i="27"/>
  <c r="J156" i="27"/>
  <c r="I156" i="27"/>
  <c r="O155" i="27"/>
  <c r="N155" i="27"/>
  <c r="M155" i="27"/>
  <c r="L155" i="27"/>
  <c r="J155" i="27"/>
  <c r="I155" i="27"/>
  <c r="O154" i="27"/>
  <c r="N154" i="27"/>
  <c r="M154" i="27"/>
  <c r="L154" i="27"/>
  <c r="J154" i="27"/>
  <c r="I154" i="27"/>
  <c r="O153" i="27"/>
  <c r="N153" i="27"/>
  <c r="M153" i="27"/>
  <c r="L153" i="27"/>
  <c r="J153" i="27"/>
  <c r="I153" i="27"/>
  <c r="O152" i="27"/>
  <c r="N152" i="27"/>
  <c r="M152" i="27"/>
  <c r="L152" i="27"/>
  <c r="J152" i="27"/>
  <c r="I152" i="27"/>
  <c r="O151" i="27"/>
  <c r="N151" i="27"/>
  <c r="M151" i="27"/>
  <c r="L151" i="27"/>
  <c r="J151" i="27"/>
  <c r="I151" i="27"/>
  <c r="O150" i="27"/>
  <c r="N150" i="27"/>
  <c r="M150" i="27"/>
  <c r="L150" i="27"/>
  <c r="J150" i="27"/>
  <c r="I150" i="27"/>
  <c r="O149" i="27"/>
  <c r="N149" i="27"/>
  <c r="M149" i="27"/>
  <c r="L149" i="27"/>
  <c r="J149" i="27"/>
  <c r="I149" i="27"/>
  <c r="O148" i="27"/>
  <c r="N148" i="27"/>
  <c r="M148" i="27"/>
  <c r="L148" i="27"/>
  <c r="J148" i="27"/>
  <c r="I148" i="27"/>
  <c r="O147" i="27"/>
  <c r="N147" i="27"/>
  <c r="M147" i="27"/>
  <c r="L147" i="27"/>
  <c r="J147" i="27"/>
  <c r="I147" i="27"/>
  <c r="O146" i="27"/>
  <c r="N146" i="27"/>
  <c r="M146" i="27"/>
  <c r="L146" i="27"/>
  <c r="J146" i="27"/>
  <c r="I146" i="27"/>
  <c r="O145" i="27"/>
  <c r="N145" i="27"/>
  <c r="M145" i="27"/>
  <c r="L145" i="27"/>
  <c r="J145" i="27"/>
  <c r="I145" i="27"/>
  <c r="O144" i="27"/>
  <c r="N144" i="27"/>
  <c r="M144" i="27"/>
  <c r="L144" i="27"/>
  <c r="J144" i="27"/>
  <c r="I144" i="27"/>
  <c r="O143" i="27"/>
  <c r="N143" i="27"/>
  <c r="M143" i="27"/>
  <c r="L143" i="27"/>
  <c r="J143" i="27"/>
  <c r="I143" i="27"/>
  <c r="O142" i="27"/>
  <c r="N142" i="27"/>
  <c r="M142" i="27"/>
  <c r="L142" i="27"/>
  <c r="J142" i="27"/>
  <c r="I142" i="27"/>
  <c r="O141" i="27"/>
  <c r="N141" i="27"/>
  <c r="M141" i="27"/>
  <c r="L141" i="27"/>
  <c r="J141" i="27"/>
  <c r="I141" i="27"/>
  <c r="O140" i="27"/>
  <c r="N140" i="27"/>
  <c r="M140" i="27"/>
  <c r="L140" i="27"/>
  <c r="J140" i="27"/>
  <c r="I140" i="27"/>
  <c r="O139" i="27"/>
  <c r="N139" i="27"/>
  <c r="M139" i="27"/>
  <c r="L139" i="27"/>
  <c r="J139" i="27"/>
  <c r="I139" i="27"/>
  <c r="O138" i="27"/>
  <c r="N138" i="27"/>
  <c r="M138" i="27"/>
  <c r="L138" i="27"/>
  <c r="J138" i="27"/>
  <c r="I138" i="27"/>
  <c r="O137" i="27"/>
  <c r="N137" i="27"/>
  <c r="M137" i="27"/>
  <c r="L137" i="27"/>
  <c r="J137" i="27"/>
  <c r="I137" i="27"/>
  <c r="O136" i="27"/>
  <c r="N136" i="27"/>
  <c r="M136" i="27"/>
  <c r="L136" i="27"/>
  <c r="J136" i="27"/>
  <c r="I136" i="27"/>
  <c r="O135" i="27"/>
  <c r="N135" i="27"/>
  <c r="M135" i="27"/>
  <c r="L135" i="27"/>
  <c r="J135" i="27"/>
  <c r="I135" i="27"/>
  <c r="O134" i="27"/>
  <c r="N134" i="27"/>
  <c r="M134" i="27"/>
  <c r="L134" i="27"/>
  <c r="J134" i="27"/>
  <c r="I134" i="27"/>
  <c r="O133" i="27"/>
  <c r="N133" i="27"/>
  <c r="M133" i="27"/>
  <c r="L133" i="27"/>
  <c r="J133" i="27"/>
  <c r="I133" i="27"/>
  <c r="O132" i="27"/>
  <c r="N132" i="27"/>
  <c r="M132" i="27"/>
  <c r="L132" i="27"/>
  <c r="J132" i="27"/>
  <c r="I132" i="27"/>
  <c r="O131" i="27"/>
  <c r="N131" i="27"/>
  <c r="M131" i="27"/>
  <c r="L131" i="27"/>
  <c r="J131" i="27"/>
  <c r="I131" i="27"/>
  <c r="O130" i="27"/>
  <c r="N130" i="27"/>
  <c r="M130" i="27"/>
  <c r="L130" i="27"/>
  <c r="J130" i="27"/>
  <c r="I130" i="27"/>
  <c r="O129" i="27"/>
  <c r="N129" i="27"/>
  <c r="M129" i="27"/>
  <c r="L129" i="27"/>
  <c r="J129" i="27"/>
  <c r="I129" i="27"/>
  <c r="O128" i="27"/>
  <c r="N128" i="27"/>
  <c r="M128" i="27"/>
  <c r="L128" i="27"/>
  <c r="J128" i="27"/>
  <c r="I128" i="27"/>
  <c r="O127" i="27"/>
  <c r="N127" i="27"/>
  <c r="M127" i="27"/>
  <c r="L127" i="27"/>
  <c r="J127" i="27"/>
  <c r="I127" i="27"/>
  <c r="O126" i="27"/>
  <c r="N126" i="27"/>
  <c r="M126" i="27"/>
  <c r="L126" i="27"/>
  <c r="J126" i="27"/>
  <c r="I126" i="27"/>
  <c r="O125" i="27"/>
  <c r="N125" i="27"/>
  <c r="M125" i="27"/>
  <c r="L125" i="27"/>
  <c r="J125" i="27"/>
  <c r="I125" i="27"/>
  <c r="O124" i="27"/>
  <c r="N124" i="27"/>
  <c r="M124" i="27"/>
  <c r="L124" i="27"/>
  <c r="J124" i="27"/>
  <c r="I124" i="27"/>
  <c r="O123" i="27"/>
  <c r="N123" i="27"/>
  <c r="M123" i="27"/>
  <c r="L123" i="27"/>
  <c r="J123" i="27"/>
  <c r="I123" i="27"/>
  <c r="O122" i="27"/>
  <c r="N122" i="27"/>
  <c r="M122" i="27"/>
  <c r="L122" i="27"/>
  <c r="J122" i="27"/>
  <c r="I122" i="27"/>
  <c r="O121" i="27"/>
  <c r="N121" i="27"/>
  <c r="M121" i="27"/>
  <c r="L121" i="27"/>
  <c r="J121" i="27"/>
  <c r="I121" i="27"/>
  <c r="O120" i="27"/>
  <c r="N120" i="27"/>
  <c r="M120" i="27"/>
  <c r="L120" i="27"/>
  <c r="J120" i="27"/>
  <c r="I120" i="27"/>
  <c r="O119" i="27"/>
  <c r="N119" i="27"/>
  <c r="M119" i="27"/>
  <c r="L119" i="27"/>
  <c r="J119" i="27"/>
  <c r="I119" i="27"/>
  <c r="O118" i="27"/>
  <c r="N118" i="27"/>
  <c r="M118" i="27"/>
  <c r="L118" i="27"/>
  <c r="J118" i="27"/>
  <c r="I118" i="27"/>
  <c r="O117" i="27"/>
  <c r="N117" i="27"/>
  <c r="M117" i="27"/>
  <c r="L117" i="27"/>
  <c r="J117" i="27"/>
  <c r="I117" i="27"/>
  <c r="O116" i="27"/>
  <c r="N116" i="27"/>
  <c r="M116" i="27"/>
  <c r="L116" i="27"/>
  <c r="J116" i="27"/>
  <c r="I116" i="27"/>
  <c r="O115" i="27"/>
  <c r="N115" i="27"/>
  <c r="M115" i="27"/>
  <c r="L115" i="27"/>
  <c r="J115" i="27"/>
  <c r="I115" i="27"/>
  <c r="O114" i="27"/>
  <c r="N114" i="27"/>
  <c r="M114" i="27"/>
  <c r="L114" i="27"/>
  <c r="J114" i="27"/>
  <c r="I114" i="27"/>
  <c r="O113" i="27"/>
  <c r="N113" i="27"/>
  <c r="M113" i="27"/>
  <c r="L113" i="27"/>
  <c r="J113" i="27"/>
  <c r="I113" i="27"/>
  <c r="O112" i="27"/>
  <c r="N112" i="27"/>
  <c r="M112" i="27"/>
  <c r="L112" i="27"/>
  <c r="J112" i="27"/>
  <c r="I112" i="27"/>
  <c r="O111" i="27"/>
  <c r="N111" i="27"/>
  <c r="M111" i="27"/>
  <c r="L111" i="27"/>
  <c r="J111" i="27"/>
  <c r="I111" i="27"/>
  <c r="O110" i="27"/>
  <c r="N110" i="27"/>
  <c r="M110" i="27"/>
  <c r="L110" i="27"/>
  <c r="J110" i="27"/>
  <c r="I110" i="27"/>
  <c r="O109" i="27"/>
  <c r="N109" i="27"/>
  <c r="M109" i="27"/>
  <c r="L109" i="27"/>
  <c r="J109" i="27"/>
  <c r="I109" i="27"/>
  <c r="O108" i="27"/>
  <c r="N108" i="27"/>
  <c r="M108" i="27"/>
  <c r="L108" i="27"/>
  <c r="J108" i="27"/>
  <c r="I108" i="27"/>
  <c r="O107" i="27"/>
  <c r="N107" i="27"/>
  <c r="M107" i="27"/>
  <c r="L107" i="27"/>
  <c r="J107" i="27"/>
  <c r="I107" i="27"/>
  <c r="O106" i="27"/>
  <c r="N106" i="27"/>
  <c r="M106" i="27"/>
  <c r="L106" i="27"/>
  <c r="J106" i="27"/>
  <c r="I106" i="27"/>
  <c r="O105" i="27"/>
  <c r="N105" i="27"/>
  <c r="M105" i="27"/>
  <c r="L105" i="27"/>
  <c r="J105" i="27"/>
  <c r="I105" i="27"/>
  <c r="O104" i="27"/>
  <c r="N104" i="27"/>
  <c r="M104" i="27"/>
  <c r="L104" i="27"/>
  <c r="J104" i="27"/>
  <c r="I104" i="27"/>
  <c r="O103" i="27"/>
  <c r="N103" i="27"/>
  <c r="M103" i="27"/>
  <c r="L103" i="27"/>
  <c r="J103" i="27"/>
  <c r="I103" i="27"/>
  <c r="O102" i="27"/>
  <c r="N102" i="27"/>
  <c r="M102" i="27"/>
  <c r="L102" i="27"/>
  <c r="J102" i="27"/>
  <c r="I102" i="27"/>
  <c r="O101" i="27"/>
  <c r="N101" i="27"/>
  <c r="M101" i="27"/>
  <c r="L101" i="27"/>
  <c r="J101" i="27"/>
  <c r="I101" i="27"/>
  <c r="O100" i="27"/>
  <c r="N100" i="27"/>
  <c r="M100" i="27"/>
  <c r="L100" i="27"/>
  <c r="J100" i="27"/>
  <c r="I100" i="27"/>
  <c r="O99" i="27"/>
  <c r="N99" i="27"/>
  <c r="M99" i="27"/>
  <c r="L99" i="27"/>
  <c r="J99" i="27"/>
  <c r="I99" i="27"/>
  <c r="O98" i="27"/>
  <c r="N98" i="27"/>
  <c r="M98" i="27"/>
  <c r="L98" i="27"/>
  <c r="J98" i="27"/>
  <c r="I98" i="27"/>
  <c r="O97" i="27"/>
  <c r="N97" i="27"/>
  <c r="M97" i="27"/>
  <c r="L97" i="27"/>
  <c r="J97" i="27"/>
  <c r="I97" i="27"/>
  <c r="O96" i="27"/>
  <c r="N96" i="27"/>
  <c r="M96" i="27"/>
  <c r="L96" i="27"/>
  <c r="J96" i="27"/>
  <c r="I96" i="27"/>
  <c r="O95" i="27"/>
  <c r="N95" i="27"/>
  <c r="M95" i="27"/>
  <c r="L95" i="27"/>
  <c r="J95" i="27"/>
  <c r="I95" i="27"/>
  <c r="O94" i="27"/>
  <c r="N94" i="27"/>
  <c r="M94" i="27"/>
  <c r="L94" i="27"/>
  <c r="J94" i="27"/>
  <c r="I94" i="27"/>
  <c r="O93" i="27"/>
  <c r="N93" i="27"/>
  <c r="M93" i="27"/>
  <c r="L93" i="27"/>
  <c r="J93" i="27"/>
  <c r="I93" i="27"/>
  <c r="O92" i="27"/>
  <c r="N92" i="27"/>
  <c r="M92" i="27"/>
  <c r="L92" i="27"/>
  <c r="J92" i="27"/>
  <c r="I92" i="27"/>
  <c r="O91" i="27"/>
  <c r="N91" i="27"/>
  <c r="M91" i="27"/>
  <c r="L91" i="27"/>
  <c r="J91" i="27"/>
  <c r="I91" i="27"/>
  <c r="O90" i="27"/>
  <c r="N90" i="27"/>
  <c r="M90" i="27"/>
  <c r="L90" i="27"/>
  <c r="J90" i="27"/>
  <c r="I90" i="27"/>
  <c r="O89" i="27"/>
  <c r="N89" i="27"/>
  <c r="M89" i="27"/>
  <c r="L89" i="27"/>
  <c r="J89" i="27"/>
  <c r="I89" i="27"/>
  <c r="O88" i="27"/>
  <c r="N88" i="27"/>
  <c r="M88" i="27"/>
  <c r="L88" i="27"/>
  <c r="J88" i="27"/>
  <c r="I88" i="27"/>
  <c r="O87" i="27"/>
  <c r="N87" i="27"/>
  <c r="M87" i="27"/>
  <c r="L87" i="27"/>
  <c r="J87" i="27"/>
  <c r="I87" i="27"/>
  <c r="O86" i="27"/>
  <c r="N86" i="27"/>
  <c r="M86" i="27"/>
  <c r="L86" i="27"/>
  <c r="J86" i="27"/>
  <c r="I86" i="27"/>
  <c r="O85" i="27"/>
  <c r="N85" i="27"/>
  <c r="M85" i="27"/>
  <c r="L85" i="27"/>
  <c r="J85" i="27"/>
  <c r="I85" i="27"/>
  <c r="O84" i="27"/>
  <c r="N84" i="27"/>
  <c r="M84" i="27"/>
  <c r="L84" i="27"/>
  <c r="J84" i="27"/>
  <c r="I84" i="27"/>
  <c r="O83" i="27"/>
  <c r="N83" i="27"/>
  <c r="M83" i="27"/>
  <c r="L83" i="27"/>
  <c r="J83" i="27"/>
  <c r="I83" i="27"/>
  <c r="O82" i="27"/>
  <c r="N82" i="27"/>
  <c r="M82" i="27"/>
  <c r="L82" i="27"/>
  <c r="J82" i="27"/>
  <c r="I82" i="27"/>
  <c r="O81" i="27"/>
  <c r="N81" i="27"/>
  <c r="M81" i="27"/>
  <c r="L81" i="27"/>
  <c r="J81" i="27"/>
  <c r="I81" i="27"/>
  <c r="O80" i="27"/>
  <c r="N80" i="27"/>
  <c r="M80" i="27"/>
  <c r="L80" i="27"/>
  <c r="J80" i="27"/>
  <c r="I80" i="27"/>
  <c r="O79" i="27"/>
  <c r="N79" i="27"/>
  <c r="M79" i="27"/>
  <c r="L79" i="27"/>
  <c r="J79" i="27"/>
  <c r="I79" i="27"/>
  <c r="O78" i="27"/>
  <c r="N78" i="27"/>
  <c r="M78" i="27"/>
  <c r="L78" i="27"/>
  <c r="J78" i="27"/>
  <c r="I78" i="27"/>
  <c r="O77" i="27"/>
  <c r="N77" i="27"/>
  <c r="M77" i="27"/>
  <c r="L77" i="27"/>
  <c r="J77" i="27"/>
  <c r="I77" i="27"/>
  <c r="O76" i="27"/>
  <c r="N76" i="27"/>
  <c r="M76" i="27"/>
  <c r="L76" i="27"/>
  <c r="J76" i="27"/>
  <c r="I76" i="27"/>
  <c r="O75" i="27"/>
  <c r="N75" i="27"/>
  <c r="M75" i="27"/>
  <c r="L75" i="27"/>
  <c r="J75" i="27"/>
  <c r="I75" i="27"/>
  <c r="O74" i="27"/>
  <c r="N74" i="27"/>
  <c r="M74" i="27"/>
  <c r="L74" i="27"/>
  <c r="J74" i="27"/>
  <c r="I74" i="27"/>
  <c r="O73" i="27"/>
  <c r="N73" i="27"/>
  <c r="M73" i="27"/>
  <c r="L73" i="27"/>
  <c r="J73" i="27"/>
  <c r="I73" i="27"/>
  <c r="O72" i="27"/>
  <c r="N72" i="27"/>
  <c r="M72" i="27"/>
  <c r="L72" i="27"/>
  <c r="J72" i="27"/>
  <c r="I72" i="27"/>
  <c r="O71" i="27"/>
  <c r="N71" i="27"/>
  <c r="M71" i="27"/>
  <c r="L71" i="27"/>
  <c r="J71" i="27"/>
  <c r="I71" i="27"/>
  <c r="O70" i="27"/>
  <c r="N70" i="27"/>
  <c r="M70" i="27"/>
  <c r="L70" i="27"/>
  <c r="J70" i="27"/>
  <c r="I70" i="27"/>
  <c r="O69" i="27"/>
  <c r="N69" i="27"/>
  <c r="M69" i="27"/>
  <c r="L69" i="27"/>
  <c r="J69" i="27"/>
  <c r="I69" i="27"/>
  <c r="O68" i="27"/>
  <c r="N68" i="27"/>
  <c r="M68" i="27"/>
  <c r="L68" i="27"/>
  <c r="J68" i="27"/>
  <c r="I68" i="27"/>
  <c r="O67" i="27"/>
  <c r="N67" i="27"/>
  <c r="M67" i="27"/>
  <c r="L67" i="27"/>
  <c r="J67" i="27"/>
  <c r="I67" i="27"/>
  <c r="O66" i="27"/>
  <c r="N66" i="27"/>
  <c r="M66" i="27"/>
  <c r="L66" i="27"/>
  <c r="J66" i="27"/>
  <c r="I66" i="27"/>
  <c r="O65" i="27"/>
  <c r="N65" i="27"/>
  <c r="M65" i="27"/>
  <c r="L65" i="27"/>
  <c r="J65" i="27"/>
  <c r="I65" i="27"/>
  <c r="O64" i="27"/>
  <c r="N64" i="27"/>
  <c r="M64" i="27"/>
  <c r="L64" i="27"/>
  <c r="J64" i="27"/>
  <c r="I64" i="27"/>
  <c r="O63" i="27"/>
  <c r="N63" i="27"/>
  <c r="M63" i="27"/>
  <c r="L63" i="27"/>
  <c r="J63" i="27"/>
  <c r="I63" i="27"/>
  <c r="O62" i="27"/>
  <c r="N62" i="27"/>
  <c r="M62" i="27"/>
  <c r="L62" i="27"/>
  <c r="J62" i="27"/>
  <c r="I62" i="27"/>
  <c r="O61" i="27"/>
  <c r="N61" i="27"/>
  <c r="M61" i="27"/>
  <c r="L61" i="27"/>
  <c r="J61" i="27"/>
  <c r="I61" i="27"/>
  <c r="O60" i="27"/>
  <c r="N60" i="27"/>
  <c r="M60" i="27"/>
  <c r="L60" i="27"/>
  <c r="J60" i="27"/>
  <c r="I60" i="27"/>
  <c r="O59" i="27"/>
  <c r="N59" i="27"/>
  <c r="M59" i="27"/>
  <c r="L59" i="27"/>
  <c r="J59" i="27"/>
  <c r="I59" i="27"/>
  <c r="O58" i="27"/>
  <c r="N58" i="27"/>
  <c r="M58" i="27"/>
  <c r="L58" i="27"/>
  <c r="J58" i="27"/>
  <c r="I58" i="27"/>
  <c r="O57" i="27"/>
  <c r="N57" i="27"/>
  <c r="M57" i="27"/>
  <c r="L57" i="27"/>
  <c r="J57" i="27"/>
  <c r="I57" i="27"/>
  <c r="O56" i="27"/>
  <c r="N56" i="27"/>
  <c r="M56" i="27"/>
  <c r="L56" i="27"/>
  <c r="J56" i="27"/>
  <c r="I56" i="27"/>
  <c r="O55" i="27"/>
  <c r="N55" i="27"/>
  <c r="M55" i="27"/>
  <c r="L55" i="27"/>
  <c r="J55" i="27"/>
  <c r="I55" i="27"/>
  <c r="O54" i="27"/>
  <c r="N54" i="27"/>
  <c r="M54" i="27"/>
  <c r="L54" i="27"/>
  <c r="J54" i="27"/>
  <c r="I54" i="27"/>
  <c r="O53" i="27"/>
  <c r="N53" i="27"/>
  <c r="M53" i="27"/>
  <c r="L53" i="27"/>
  <c r="J53" i="27"/>
  <c r="I53" i="27"/>
  <c r="O52" i="27"/>
  <c r="N52" i="27"/>
  <c r="M52" i="27"/>
  <c r="L52" i="27"/>
  <c r="J52" i="27"/>
  <c r="I52" i="27"/>
  <c r="O51" i="27"/>
  <c r="N51" i="27"/>
  <c r="M51" i="27"/>
  <c r="L51" i="27"/>
  <c r="J51" i="27"/>
  <c r="I51" i="27"/>
  <c r="O50" i="27"/>
  <c r="N50" i="27"/>
  <c r="M50" i="27"/>
  <c r="L50" i="27"/>
  <c r="J50" i="27"/>
  <c r="I50" i="27"/>
  <c r="O49" i="27"/>
  <c r="N49" i="27"/>
  <c r="M49" i="27"/>
  <c r="L49" i="27"/>
  <c r="J49" i="27"/>
  <c r="I49" i="27"/>
  <c r="O48" i="27"/>
  <c r="N48" i="27"/>
  <c r="M48" i="27"/>
  <c r="L48" i="27"/>
  <c r="J48" i="27"/>
  <c r="I48" i="27"/>
  <c r="O47" i="27"/>
  <c r="N47" i="27"/>
  <c r="M47" i="27"/>
  <c r="L47" i="27"/>
  <c r="J47" i="27"/>
  <c r="I47" i="27"/>
  <c r="O46" i="27"/>
  <c r="N46" i="27"/>
  <c r="M46" i="27"/>
  <c r="L46" i="27"/>
  <c r="J46" i="27"/>
  <c r="I46" i="27"/>
  <c r="O45" i="27"/>
  <c r="N45" i="27"/>
  <c r="M45" i="27"/>
  <c r="L45" i="27"/>
  <c r="J45" i="27"/>
  <c r="I45" i="27"/>
  <c r="O44" i="27"/>
  <c r="N44" i="27"/>
  <c r="M44" i="27"/>
  <c r="L44" i="27"/>
  <c r="J44" i="27"/>
  <c r="I44" i="27"/>
  <c r="O43" i="27"/>
  <c r="N43" i="27"/>
  <c r="M43" i="27"/>
  <c r="L43" i="27"/>
  <c r="J43" i="27"/>
  <c r="I43" i="27"/>
  <c r="O42" i="27"/>
  <c r="N42" i="27"/>
  <c r="M42" i="27"/>
  <c r="L42" i="27"/>
  <c r="J42" i="27"/>
  <c r="I42" i="27"/>
  <c r="O41" i="27"/>
  <c r="N41" i="27"/>
  <c r="M41" i="27"/>
  <c r="L41" i="27"/>
  <c r="J41" i="27"/>
  <c r="I41" i="27"/>
  <c r="O40" i="27"/>
  <c r="N40" i="27"/>
  <c r="M40" i="27"/>
  <c r="L40" i="27"/>
  <c r="J40" i="27"/>
  <c r="I40" i="27"/>
  <c r="O39" i="27"/>
  <c r="N39" i="27"/>
  <c r="M39" i="27"/>
  <c r="L39" i="27"/>
  <c r="J39" i="27"/>
  <c r="I39" i="27"/>
  <c r="O38" i="27"/>
  <c r="N38" i="27"/>
  <c r="M38" i="27"/>
  <c r="L38" i="27"/>
  <c r="J38" i="27"/>
  <c r="I38" i="27"/>
  <c r="O37" i="27"/>
  <c r="N37" i="27"/>
  <c r="M37" i="27"/>
  <c r="L37" i="27"/>
  <c r="J37" i="27"/>
  <c r="I37" i="27"/>
  <c r="O36" i="27"/>
  <c r="N36" i="27"/>
  <c r="M36" i="27"/>
  <c r="L36" i="27"/>
  <c r="J36" i="27"/>
  <c r="I36" i="27"/>
  <c r="O35" i="27"/>
  <c r="N35" i="27"/>
  <c r="M35" i="27"/>
  <c r="L35" i="27"/>
  <c r="J35" i="27"/>
  <c r="I35" i="27"/>
  <c r="O34" i="27"/>
  <c r="N34" i="27"/>
  <c r="M34" i="27"/>
  <c r="L34" i="27"/>
  <c r="J34" i="27"/>
  <c r="I34" i="27"/>
  <c r="O33" i="27"/>
  <c r="N33" i="27"/>
  <c r="M33" i="27"/>
  <c r="L33" i="27"/>
  <c r="J33" i="27"/>
  <c r="I33" i="27"/>
  <c r="O32" i="27"/>
  <c r="N32" i="27"/>
  <c r="M32" i="27"/>
  <c r="L32" i="27"/>
  <c r="J32" i="27"/>
  <c r="I32" i="27"/>
  <c r="O31" i="27"/>
  <c r="N31" i="27"/>
  <c r="M31" i="27"/>
  <c r="L31" i="27"/>
  <c r="J31" i="27"/>
  <c r="I31" i="27"/>
  <c r="O30" i="27"/>
  <c r="N30" i="27"/>
  <c r="M30" i="27"/>
  <c r="L30" i="27"/>
  <c r="J30" i="27"/>
  <c r="I30" i="27"/>
  <c r="O29" i="27"/>
  <c r="N29" i="27"/>
  <c r="M29" i="27"/>
  <c r="L29" i="27"/>
  <c r="J29" i="27"/>
  <c r="I29" i="27"/>
  <c r="O28" i="27"/>
  <c r="N28" i="27"/>
  <c r="M28" i="27"/>
  <c r="L28" i="27"/>
  <c r="J28" i="27"/>
  <c r="I28" i="27"/>
  <c r="O27" i="27"/>
  <c r="N27" i="27"/>
  <c r="M27" i="27"/>
  <c r="L27" i="27"/>
  <c r="J27" i="27"/>
  <c r="I27" i="27"/>
  <c r="O26" i="27"/>
  <c r="N26" i="27"/>
  <c r="M26" i="27"/>
  <c r="L26" i="27"/>
  <c r="J26" i="27"/>
  <c r="I26" i="27"/>
  <c r="O25" i="27"/>
  <c r="N25" i="27"/>
  <c r="M25" i="27"/>
  <c r="L25" i="27"/>
  <c r="J25" i="27"/>
  <c r="I25" i="27"/>
  <c r="O24" i="27"/>
  <c r="N24" i="27"/>
  <c r="M24" i="27"/>
  <c r="L24" i="27"/>
  <c r="J24" i="27"/>
  <c r="I24" i="27"/>
  <c r="O23" i="27"/>
  <c r="N23" i="27"/>
  <c r="M23" i="27"/>
  <c r="L23" i="27"/>
  <c r="J23" i="27"/>
  <c r="I23" i="27"/>
  <c r="O22" i="27"/>
  <c r="N22" i="27"/>
  <c r="M22" i="27"/>
  <c r="L22" i="27"/>
  <c r="J22" i="27"/>
  <c r="I22" i="27"/>
  <c r="O21" i="27"/>
  <c r="N21" i="27"/>
  <c r="M21" i="27"/>
  <c r="L21" i="27"/>
  <c r="J21" i="27"/>
  <c r="I21" i="27"/>
  <c r="O20" i="27"/>
  <c r="N20" i="27"/>
  <c r="M20" i="27"/>
  <c r="L20" i="27"/>
  <c r="J20" i="27"/>
  <c r="I20" i="27"/>
  <c r="O19" i="27"/>
  <c r="N19" i="27"/>
  <c r="M19" i="27"/>
  <c r="L19" i="27"/>
  <c r="J19" i="27"/>
  <c r="I19" i="27"/>
  <c r="O18" i="27"/>
  <c r="N18" i="27"/>
  <c r="M18" i="27"/>
  <c r="L18" i="27"/>
  <c r="J18" i="27"/>
  <c r="I18" i="27"/>
  <c r="O17" i="27"/>
  <c r="N17" i="27"/>
  <c r="M17" i="27"/>
  <c r="L17" i="27"/>
  <c r="J17" i="27"/>
  <c r="I17" i="27"/>
  <c r="O16" i="27"/>
  <c r="N16" i="27"/>
  <c r="M16" i="27"/>
  <c r="L16" i="27"/>
  <c r="J16" i="27"/>
  <c r="I16" i="27"/>
  <c r="O15" i="27"/>
  <c r="N15" i="27"/>
  <c r="M15" i="27"/>
  <c r="L15" i="27"/>
  <c r="J15" i="27"/>
  <c r="I15" i="27"/>
  <c r="O14" i="27"/>
  <c r="N14" i="27"/>
  <c r="M14" i="27"/>
  <c r="L14" i="27"/>
  <c r="J14" i="27"/>
  <c r="I14" i="27"/>
  <c r="O13" i="27"/>
  <c r="N13" i="27"/>
  <c r="M13" i="27"/>
  <c r="L13" i="27"/>
  <c r="J13" i="27"/>
  <c r="I13" i="27"/>
  <c r="O12" i="27"/>
  <c r="N12" i="27"/>
  <c r="M12" i="27"/>
  <c r="L12" i="27"/>
  <c r="J12" i="27"/>
  <c r="I12" i="27"/>
  <c r="O11" i="27"/>
  <c r="N11" i="27"/>
  <c r="M11" i="27"/>
  <c r="L11" i="27"/>
  <c r="J11" i="27"/>
  <c r="I11" i="27"/>
  <c r="O10" i="27"/>
  <c r="N10" i="27"/>
  <c r="M10" i="27"/>
  <c r="L10" i="27"/>
  <c r="J10" i="27"/>
  <c r="I10" i="27"/>
  <c r="O9" i="27"/>
  <c r="N9" i="27"/>
  <c r="M9" i="27"/>
  <c r="L9" i="27"/>
  <c r="J9" i="27"/>
  <c r="I9" i="27"/>
  <c r="O8" i="27"/>
  <c r="N8" i="27"/>
  <c r="M8" i="27"/>
  <c r="L8" i="27"/>
  <c r="J8" i="27"/>
  <c r="I8" i="27"/>
  <c r="O7" i="27"/>
  <c r="N7" i="27"/>
  <c r="M7" i="27"/>
  <c r="L7" i="27"/>
  <c r="J7" i="27"/>
  <c r="I7" i="27"/>
  <c r="O6" i="27"/>
  <c r="N6" i="27"/>
  <c r="M6" i="27"/>
  <c r="L6" i="27"/>
  <c r="J6" i="27"/>
  <c r="I6" i="27"/>
  <c r="O5" i="27"/>
  <c r="N5" i="27"/>
  <c r="M5" i="27"/>
  <c r="L5" i="27"/>
  <c r="J5" i="27"/>
  <c r="I5" i="27"/>
  <c r="O4" i="27"/>
  <c r="N4" i="27"/>
  <c r="M4" i="27"/>
  <c r="L4" i="27"/>
  <c r="J4" i="27"/>
  <c r="I4" i="27"/>
  <c r="O3" i="27"/>
  <c r="N3" i="27"/>
  <c r="M3" i="27"/>
  <c r="L3" i="27"/>
  <c r="J3" i="27"/>
  <c r="I3" i="27"/>
  <c r="A5" i="27"/>
  <c r="A6" i="27" s="1"/>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l="1"/>
  <c r="A31" i="27" s="1"/>
  <c r="A32" i="27" s="1"/>
  <c r="A33" i="27" s="1"/>
  <c r="A34" i="27" s="1"/>
  <c r="A35" i="27" s="1"/>
  <c r="A36" i="27" s="1"/>
  <c r="A37" i="27" s="1"/>
  <c r="A38" i="27" s="1"/>
  <c r="A39" i="27" s="1"/>
  <c r="A40" i="27" s="1"/>
  <c r="A41" i="27" s="1"/>
  <c r="A42" i="27" s="1"/>
  <c r="A43" i="27" s="1"/>
  <c r="Q28" i="27"/>
  <c r="Q27" i="27" s="1"/>
  <c r="Q26" i="27" s="1"/>
  <c r="Q25" i="27" s="1"/>
  <c r="Q24" i="27" s="1"/>
  <c r="Q23" i="27" s="1"/>
  <c r="Q22" i="27" s="1"/>
  <c r="Q21" i="27" s="1"/>
  <c r="Q20" i="27" s="1"/>
  <c r="Q19" i="27" s="1"/>
  <c r="Q18" i="27" s="1"/>
  <c r="Q17" i="27" s="1"/>
  <c r="Q16" i="27" s="1"/>
  <c r="Q15" i="27" s="1"/>
  <c r="Q14" i="27" s="1"/>
  <c r="Q13" i="27" s="1"/>
  <c r="Q12" i="27" s="1"/>
  <c r="Q11" i="27" s="1"/>
  <c r="Q10" i="27" s="1"/>
  <c r="Q9" i="27" s="1"/>
  <c r="Q8" i="27" s="1"/>
  <c r="Q7" i="27" s="1"/>
  <c r="Q6" i="27" s="1"/>
  <c r="Q5" i="27" s="1"/>
  <c r="Q4" i="27" s="1"/>
  <c r="Q3" i="27" s="1"/>
  <c r="P26" i="27"/>
  <c r="K4" i="27"/>
  <c r="K6" i="27"/>
  <c r="K8" i="27"/>
  <c r="K10" i="27"/>
  <c r="K12" i="27"/>
  <c r="K14" i="27"/>
  <c r="K16" i="27"/>
  <c r="K18" i="27"/>
  <c r="K20" i="27"/>
  <c r="K22" i="27"/>
  <c r="K24" i="27"/>
  <c r="K26" i="27"/>
  <c r="K28" i="27"/>
  <c r="K30" i="27"/>
  <c r="K32" i="27"/>
  <c r="K34" i="27"/>
  <c r="K36" i="27"/>
  <c r="K38" i="27"/>
  <c r="K40" i="27"/>
  <c r="K42" i="27"/>
  <c r="K44" i="27"/>
  <c r="K46" i="27"/>
  <c r="K48" i="27"/>
  <c r="K50" i="27"/>
  <c r="K52" i="27"/>
  <c r="K54" i="27"/>
  <c r="K56" i="27"/>
  <c r="K58" i="27"/>
  <c r="K60" i="27"/>
  <c r="K62" i="27"/>
  <c r="K64" i="27"/>
  <c r="K66" i="27"/>
  <c r="K68" i="27"/>
  <c r="K70" i="27"/>
  <c r="K72" i="27"/>
  <c r="K74" i="27"/>
  <c r="K76" i="27"/>
  <c r="K78" i="27"/>
  <c r="K80" i="27"/>
  <c r="K82" i="27"/>
  <c r="K84" i="27"/>
  <c r="K86" i="27"/>
  <c r="K88" i="27"/>
  <c r="K90" i="27"/>
  <c r="K92" i="27"/>
  <c r="K94" i="27"/>
  <c r="K96" i="27"/>
  <c r="K98" i="27"/>
  <c r="K100" i="27"/>
  <c r="K102" i="27"/>
  <c r="K104" i="27"/>
  <c r="K106" i="27"/>
  <c r="K108" i="27"/>
  <c r="K110" i="27"/>
  <c r="K112" i="27"/>
  <c r="K114" i="27"/>
  <c r="K116" i="27"/>
  <c r="K118" i="27"/>
  <c r="K120" i="27"/>
  <c r="K122" i="27"/>
  <c r="K124" i="27"/>
  <c r="K126" i="27"/>
  <c r="K128" i="27"/>
  <c r="K130" i="27"/>
  <c r="K132" i="27"/>
  <c r="K134" i="27"/>
  <c r="K136" i="27"/>
  <c r="K138" i="27"/>
  <c r="K140" i="27"/>
  <c r="K142" i="27"/>
  <c r="K144" i="27"/>
  <c r="K146" i="27"/>
  <c r="K148" i="27"/>
  <c r="K150" i="27"/>
  <c r="K152" i="27"/>
  <c r="K154" i="27"/>
  <c r="K156" i="27"/>
  <c r="K158" i="27"/>
  <c r="K160" i="27"/>
  <c r="P38" i="27"/>
  <c r="K162" i="27"/>
  <c r="K164" i="27"/>
  <c r="K166" i="27"/>
  <c r="K168" i="27"/>
  <c r="K170" i="27"/>
  <c r="K172" i="27"/>
  <c r="K174" i="27"/>
  <c r="K176" i="27"/>
  <c r="K178" i="27"/>
  <c r="K180" i="27"/>
  <c r="K182" i="27"/>
  <c r="K184" i="27"/>
  <c r="K186" i="27"/>
  <c r="K188" i="27"/>
  <c r="K190" i="27"/>
  <c r="K192" i="27"/>
  <c r="K194" i="27"/>
  <c r="K196" i="27"/>
  <c r="K198" i="27"/>
  <c r="K200" i="27"/>
  <c r="K202" i="27"/>
  <c r="K204" i="27"/>
  <c r="K206" i="27"/>
  <c r="K208" i="27"/>
  <c r="K210" i="27"/>
  <c r="K212" i="27"/>
  <c r="K214" i="27"/>
  <c r="K216" i="27"/>
  <c r="K218" i="27"/>
  <c r="K220" i="27"/>
  <c r="K222" i="27"/>
  <c r="K224" i="27"/>
  <c r="K226" i="27"/>
  <c r="K228" i="27"/>
  <c r="K230" i="27"/>
  <c r="K232" i="27"/>
  <c r="K234" i="27"/>
  <c r="K406" i="27"/>
  <c r="K408" i="27"/>
  <c r="K410" i="27"/>
  <c r="K412" i="27"/>
  <c r="K414" i="27"/>
  <c r="K416" i="27"/>
  <c r="K418" i="27"/>
  <c r="K420" i="27"/>
  <c r="K422" i="27"/>
  <c r="K424" i="27"/>
  <c r="K426" i="27"/>
  <c r="K428" i="27"/>
  <c r="K430" i="27"/>
  <c r="K432" i="27"/>
  <c r="K434" i="27"/>
  <c r="K436" i="27"/>
  <c r="K438" i="27"/>
  <c r="K440" i="27"/>
  <c r="K442" i="27"/>
  <c r="K444" i="27"/>
  <c r="K446" i="27"/>
  <c r="K448" i="27"/>
  <c r="K450" i="27"/>
  <c r="K452" i="27"/>
  <c r="K454" i="27"/>
  <c r="K456" i="27"/>
  <c r="K458" i="27"/>
  <c r="K460" i="27"/>
  <c r="K462" i="27"/>
  <c r="K464" i="27"/>
  <c r="K466" i="27"/>
  <c r="K468" i="27"/>
  <c r="K470" i="27"/>
  <c r="K472" i="27"/>
  <c r="K474" i="27"/>
  <c r="K476" i="27"/>
  <c r="K478" i="27"/>
  <c r="K480" i="27"/>
  <c r="K482" i="27"/>
  <c r="K484" i="27"/>
  <c r="K486" i="27"/>
  <c r="K488" i="27"/>
  <c r="K490" i="27"/>
  <c r="K492" i="27"/>
  <c r="K494" i="27"/>
  <c r="K496" i="27"/>
  <c r="K498" i="27"/>
  <c r="K500" i="27"/>
  <c r="P74" i="27"/>
  <c r="K236" i="27"/>
  <c r="K238" i="27"/>
  <c r="K240" i="27"/>
  <c r="K242" i="27"/>
  <c r="K244" i="27"/>
  <c r="K246" i="27"/>
  <c r="K248" i="27"/>
  <c r="K250" i="27"/>
  <c r="K252" i="27"/>
  <c r="K254" i="27"/>
  <c r="K256" i="27"/>
  <c r="K258" i="27"/>
  <c r="K260" i="27"/>
  <c r="K262" i="27"/>
  <c r="K264" i="27"/>
  <c r="K266" i="27"/>
  <c r="K268" i="27"/>
  <c r="K270" i="27"/>
  <c r="K272" i="27"/>
  <c r="K274" i="27"/>
  <c r="K276" i="27"/>
  <c r="K278" i="27"/>
  <c r="K280" i="27"/>
  <c r="K282" i="27"/>
  <c r="K284" i="27"/>
  <c r="K286" i="27"/>
  <c r="K288" i="27"/>
  <c r="K290" i="27"/>
  <c r="K292" i="27"/>
  <c r="K294" i="27"/>
  <c r="K296" i="27"/>
  <c r="K298" i="27"/>
  <c r="K300" i="27"/>
  <c r="K302" i="27"/>
  <c r="K304" i="27"/>
  <c r="K306" i="27"/>
  <c r="K308" i="27"/>
  <c r="K310" i="27"/>
  <c r="K312" i="27"/>
  <c r="K314" i="27"/>
  <c r="K316" i="27"/>
  <c r="K318" i="27"/>
  <c r="K320" i="27"/>
  <c r="K322" i="27"/>
  <c r="K324" i="27"/>
  <c r="K326" i="27"/>
  <c r="K328" i="27"/>
  <c r="K330" i="27"/>
  <c r="K332" i="27"/>
  <c r="K334" i="27"/>
  <c r="K336" i="27"/>
  <c r="K338" i="27"/>
  <c r="K340" i="27"/>
  <c r="K342" i="27"/>
  <c r="K344" i="27"/>
  <c r="K346" i="27"/>
  <c r="K348" i="27"/>
  <c r="K350" i="27"/>
  <c r="K352" i="27"/>
  <c r="K354" i="27"/>
  <c r="K356" i="27"/>
  <c r="K358" i="27"/>
  <c r="K360" i="27"/>
  <c r="K362" i="27"/>
  <c r="K364" i="27"/>
  <c r="K366" i="27"/>
  <c r="K368" i="27"/>
  <c r="K370" i="27"/>
  <c r="K372" i="27"/>
  <c r="K374" i="27"/>
  <c r="K376" i="27"/>
  <c r="K378" i="27"/>
  <c r="K380" i="27"/>
  <c r="K382" i="27"/>
  <c r="K384" i="27"/>
  <c r="K386" i="27"/>
  <c r="K388" i="27"/>
  <c r="K390" i="27"/>
  <c r="K392" i="27"/>
  <c r="K394" i="27"/>
  <c r="K396" i="27"/>
  <c r="K398" i="27"/>
  <c r="K400" i="27"/>
  <c r="K402" i="27"/>
  <c r="K404" i="27"/>
  <c r="K3" i="27"/>
  <c r="K5" i="27"/>
  <c r="K7" i="27"/>
  <c r="K9" i="27"/>
  <c r="K11" i="27"/>
  <c r="K13" i="27"/>
  <c r="K15" i="27"/>
  <c r="K17" i="27"/>
  <c r="K19" i="27"/>
  <c r="K21" i="27"/>
  <c r="K23" i="27"/>
  <c r="K25" i="27"/>
  <c r="K27" i="27"/>
  <c r="K29" i="27"/>
  <c r="K31" i="27"/>
  <c r="K33" i="27"/>
  <c r="K35" i="27"/>
  <c r="K37" i="27"/>
  <c r="K39" i="27"/>
  <c r="K41" i="27"/>
  <c r="K43" i="27"/>
  <c r="K45" i="27"/>
  <c r="K47" i="27"/>
  <c r="K49" i="27"/>
  <c r="K51" i="27"/>
  <c r="K53" i="27"/>
  <c r="K55" i="27"/>
  <c r="K57" i="27"/>
  <c r="K59" i="27"/>
  <c r="K61" i="27"/>
  <c r="K63" i="27"/>
  <c r="K65" i="27"/>
  <c r="K67" i="27"/>
  <c r="K69" i="27"/>
  <c r="K71" i="27"/>
  <c r="K73" i="27"/>
  <c r="K75" i="27"/>
  <c r="K77" i="27"/>
  <c r="K79" i="27"/>
  <c r="K81" i="27"/>
  <c r="K83" i="27"/>
  <c r="K85" i="27"/>
  <c r="K87" i="27"/>
  <c r="K89" i="27"/>
  <c r="K91" i="27"/>
  <c r="K93" i="27"/>
  <c r="K95" i="27"/>
  <c r="K97" i="27"/>
  <c r="K99" i="27"/>
  <c r="K101" i="27"/>
  <c r="K103" i="27"/>
  <c r="K105" i="27"/>
  <c r="K107" i="27"/>
  <c r="K109" i="27"/>
  <c r="K111" i="27"/>
  <c r="K113" i="27"/>
  <c r="K115" i="27"/>
  <c r="K117" i="27"/>
  <c r="K119" i="27"/>
  <c r="K121" i="27"/>
  <c r="K123" i="27"/>
  <c r="K125" i="27"/>
  <c r="K127" i="27"/>
  <c r="K129" i="27"/>
  <c r="K131" i="27"/>
  <c r="K133" i="27"/>
  <c r="K135" i="27"/>
  <c r="K137" i="27"/>
  <c r="K139" i="27"/>
  <c r="K141" i="27"/>
  <c r="K143" i="27"/>
  <c r="K145" i="27"/>
  <c r="K147" i="27"/>
  <c r="K149" i="27"/>
  <c r="K151" i="27"/>
  <c r="K153" i="27"/>
  <c r="K155" i="27"/>
  <c r="K157" i="27"/>
  <c r="K159" i="27"/>
  <c r="K161" i="27"/>
  <c r="K163" i="27"/>
  <c r="K165" i="27"/>
  <c r="K167" i="27"/>
  <c r="K169" i="27"/>
  <c r="K171" i="27"/>
  <c r="K173" i="27"/>
  <c r="K175" i="27"/>
  <c r="K177" i="27"/>
  <c r="K179" i="27"/>
  <c r="K181" i="27"/>
  <c r="K183" i="27"/>
  <c r="K185" i="27"/>
  <c r="K187" i="27"/>
  <c r="K189" i="27"/>
  <c r="K191" i="27"/>
  <c r="K193" i="27"/>
  <c r="K195" i="27"/>
  <c r="K197" i="27"/>
  <c r="K199" i="27"/>
  <c r="K201" i="27"/>
  <c r="K203" i="27"/>
  <c r="K205" i="27"/>
  <c r="K207" i="27"/>
  <c r="K209" i="27"/>
  <c r="K211" i="27"/>
  <c r="K213" i="27"/>
  <c r="K215" i="27"/>
  <c r="K217" i="27"/>
  <c r="K219" i="27"/>
  <c r="K221" i="27"/>
  <c r="K223" i="27"/>
  <c r="K225" i="27"/>
  <c r="K227" i="27"/>
  <c r="K229" i="27"/>
  <c r="K231" i="27"/>
  <c r="K233" i="27"/>
  <c r="K235" i="27"/>
  <c r="K237" i="27"/>
  <c r="K239" i="27"/>
  <c r="K241" i="27"/>
  <c r="K243" i="27"/>
  <c r="K245" i="27"/>
  <c r="K247" i="27"/>
  <c r="K249" i="27"/>
  <c r="K251" i="27"/>
  <c r="K253" i="27"/>
  <c r="K255" i="27"/>
  <c r="K257" i="27"/>
  <c r="K259" i="27"/>
  <c r="K261" i="27"/>
  <c r="K263" i="27"/>
  <c r="K265" i="27"/>
  <c r="K267" i="27"/>
  <c r="K269" i="27"/>
  <c r="K271" i="27"/>
  <c r="K273" i="27"/>
  <c r="K275" i="27"/>
  <c r="K277" i="27"/>
  <c r="K279" i="27"/>
  <c r="K281" i="27"/>
  <c r="K283" i="27"/>
  <c r="K285" i="27"/>
  <c r="K287" i="27"/>
  <c r="K289" i="27"/>
  <c r="K291" i="27"/>
  <c r="K293" i="27"/>
  <c r="K295" i="27"/>
  <c r="K297" i="27"/>
  <c r="K299" i="27"/>
  <c r="K301" i="27"/>
  <c r="K303" i="27"/>
  <c r="K305" i="27"/>
  <c r="K307" i="27"/>
  <c r="K309" i="27"/>
  <c r="K311" i="27"/>
  <c r="K313" i="27"/>
  <c r="K315" i="27"/>
  <c r="K317" i="27"/>
  <c r="K319" i="27"/>
  <c r="K321" i="27"/>
  <c r="K323" i="27"/>
  <c r="K325" i="27"/>
  <c r="K327" i="27"/>
  <c r="K329" i="27"/>
  <c r="K331" i="27"/>
  <c r="K333" i="27"/>
  <c r="K335" i="27"/>
  <c r="K337" i="27"/>
  <c r="K339" i="27"/>
  <c r="K341" i="27"/>
  <c r="K343" i="27"/>
  <c r="K345" i="27"/>
  <c r="K347" i="27"/>
  <c r="K349" i="27"/>
  <c r="K351" i="27"/>
  <c r="K353" i="27"/>
  <c r="K355" i="27"/>
  <c r="K357" i="27"/>
  <c r="K359" i="27"/>
  <c r="K361" i="27"/>
  <c r="K363" i="27"/>
  <c r="K365" i="27"/>
  <c r="K367" i="27"/>
  <c r="K369" i="27"/>
  <c r="K371" i="27"/>
  <c r="K373" i="27"/>
  <c r="K375" i="27"/>
  <c r="K377" i="27"/>
  <c r="K379" i="27"/>
  <c r="K381" i="27"/>
  <c r="K383" i="27"/>
  <c r="K385" i="27"/>
  <c r="K387" i="27"/>
  <c r="K389" i="27"/>
  <c r="K391" i="27"/>
  <c r="K393" i="27"/>
  <c r="K395" i="27"/>
  <c r="K397" i="27"/>
  <c r="K399" i="27"/>
  <c r="K401" i="27"/>
  <c r="K403" i="27"/>
  <c r="K405" i="27"/>
  <c r="K407" i="27"/>
  <c r="K409" i="27"/>
  <c r="K411" i="27"/>
  <c r="K413" i="27"/>
  <c r="K415" i="27"/>
  <c r="K417" i="27"/>
  <c r="K419" i="27"/>
  <c r="K421" i="27"/>
  <c r="K423" i="27"/>
  <c r="K425" i="27"/>
  <c r="K427" i="27"/>
  <c r="K429" i="27"/>
  <c r="K431" i="27"/>
  <c r="K433" i="27"/>
  <c r="K435" i="27"/>
  <c r="K437" i="27"/>
  <c r="K439" i="27"/>
  <c r="K441" i="27"/>
  <c r="K443" i="27"/>
  <c r="K445" i="27"/>
  <c r="K447" i="27"/>
  <c r="K449" i="27"/>
  <c r="K451" i="27"/>
  <c r="K453" i="27"/>
  <c r="K455" i="27"/>
  <c r="K457" i="27"/>
  <c r="K459" i="27"/>
  <c r="K461" i="27"/>
  <c r="K463" i="27"/>
  <c r="K465" i="27"/>
  <c r="K467" i="27"/>
  <c r="K469" i="27"/>
  <c r="K471" i="27"/>
  <c r="K473" i="27"/>
  <c r="K475" i="27"/>
  <c r="K477" i="27"/>
  <c r="K479" i="27"/>
  <c r="K481" i="27"/>
  <c r="K483" i="27"/>
  <c r="K485" i="27"/>
  <c r="K487" i="27"/>
  <c r="K489" i="27"/>
  <c r="K491" i="27"/>
  <c r="K493" i="27"/>
  <c r="K495" i="27"/>
  <c r="K497" i="27"/>
  <c r="K499" i="27"/>
  <c r="K501" i="27"/>
  <c r="A44" i="27" l="1"/>
  <c r="A45" i="27" s="1"/>
  <c r="A46" i="27" s="1"/>
  <c r="A47" i="27" s="1"/>
  <c r="A48" i="27" s="1"/>
  <c r="A49" i="27" s="1"/>
  <c r="A50" i="27" s="1"/>
  <c r="A51" i="27" s="1"/>
  <c r="A52" i="27" s="1"/>
  <c r="A53" i="27" s="1"/>
  <c r="A54" i="27" s="1"/>
  <c r="A55" i="27" s="1"/>
  <c r="A56" i="27" s="1"/>
  <c r="A57" i="27" s="1"/>
  <c r="A58" i="27" s="1"/>
  <c r="A59" i="27" s="1"/>
  <c r="A60" i="27" s="1"/>
  <c r="Q42" i="27"/>
  <c r="Q41" i="27" s="1"/>
  <c r="Q40" i="27" s="1"/>
  <c r="Q39" i="27" s="1"/>
  <c r="Q38" i="27" s="1"/>
  <c r="Q37" i="27" s="1"/>
  <c r="Q36" i="27" s="1"/>
  <c r="Q35" i="27" s="1"/>
  <c r="P37" i="27"/>
  <c r="P73" i="27"/>
  <c r="P25" i="27"/>
  <c r="D6" i="1"/>
  <c r="A61" i="27" l="1"/>
  <c r="A62" i="27" s="1"/>
  <c r="A63" i="27" s="1"/>
  <c r="A64" i="27" s="1"/>
  <c r="A65" i="27" s="1"/>
  <c r="A66" i="27" s="1"/>
  <c r="A67" i="27" s="1"/>
  <c r="A68" i="27" s="1"/>
  <c r="A69" i="27" s="1"/>
  <c r="A70" i="27" s="1"/>
  <c r="A71" i="27" s="1"/>
  <c r="A72" i="27" s="1"/>
  <c r="A73" i="27" s="1"/>
  <c r="A74" i="27" s="1"/>
  <c r="A75" i="27" s="1"/>
  <c r="A76" i="27" s="1"/>
  <c r="A77" i="27" s="1"/>
  <c r="A78" i="27" s="1"/>
  <c r="A79" i="27" s="1"/>
  <c r="Q59" i="27"/>
  <c r="Q58" i="27" s="1"/>
  <c r="P72" i="27"/>
  <c r="P24" i="27"/>
  <c r="P36" i="27"/>
  <c r="D9" i="25"/>
  <c r="A80" i="27" l="1"/>
  <c r="A81" i="27" s="1"/>
  <c r="A82" i="27" s="1"/>
  <c r="A83" i="27" s="1"/>
  <c r="A84" i="27" s="1"/>
  <c r="A85" i="27" s="1"/>
  <c r="A86" i="27" s="1"/>
  <c r="A87" i="27" s="1"/>
  <c r="A88" i="27" s="1"/>
  <c r="Q78" i="27"/>
  <c r="Q77" i="27" s="1"/>
  <c r="Q76" i="27" s="1"/>
  <c r="Q75" i="27" s="1"/>
  <c r="Q74" i="27" s="1"/>
  <c r="Q73" i="27" s="1"/>
  <c r="Q72" i="27" s="1"/>
  <c r="Q71" i="27" s="1"/>
  <c r="Q70" i="27" s="1"/>
  <c r="Q69" i="27" s="1"/>
  <c r="Q68" i="27" s="1"/>
  <c r="Q67" i="27" s="1"/>
  <c r="P23" i="27"/>
  <c r="P35" i="27"/>
  <c r="P71" i="27"/>
  <c r="A89" i="27" l="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S87" i="27"/>
  <c r="S86" i="27" s="1"/>
  <c r="S85" i="27" s="1"/>
  <c r="S84" i="27" s="1"/>
  <c r="S83" i="27" s="1"/>
  <c r="S82" i="27" s="1"/>
  <c r="S81" i="27" s="1"/>
  <c r="S80" i="27" s="1"/>
  <c r="S79" i="27" s="1"/>
  <c r="S78" i="27" s="1"/>
  <c r="S77" i="27" s="1"/>
  <c r="S76" i="27" s="1"/>
  <c r="S75" i="27" s="1"/>
  <c r="S74" i="27" s="1"/>
  <c r="S73" i="27" s="1"/>
  <c r="S72" i="27" s="1"/>
  <c r="S71" i="27" s="1"/>
  <c r="S70" i="27" s="1"/>
  <c r="S69" i="27" s="1"/>
  <c r="S68" i="27" s="1"/>
  <c r="S67" i="27" s="1"/>
  <c r="S66" i="27" s="1"/>
  <c r="S65" i="27" s="1"/>
  <c r="S64" i="27" s="1"/>
  <c r="S63" i="27" s="1"/>
  <c r="S62" i="27" s="1"/>
  <c r="S61" i="27" s="1"/>
  <c r="S60" i="27" s="1"/>
  <c r="S59" i="27" s="1"/>
  <c r="S58" i="27" s="1"/>
  <c r="S57" i="27" s="1"/>
  <c r="S56" i="27" s="1"/>
  <c r="S55" i="27" s="1"/>
  <c r="S54" i="27" s="1"/>
  <c r="S53" i="27" s="1"/>
  <c r="S52" i="27" s="1"/>
  <c r="S51" i="27" s="1"/>
  <c r="S50" i="27" s="1"/>
  <c r="S49" i="27" s="1"/>
  <c r="S48" i="27" s="1"/>
  <c r="S47" i="27" s="1"/>
  <c r="S46" i="27" s="1"/>
  <c r="S45" i="27" s="1"/>
  <c r="S44" i="27" s="1"/>
  <c r="S43" i="27" s="1"/>
  <c r="S42" i="27" s="1"/>
  <c r="S41" i="27" s="1"/>
  <c r="S40" i="27" s="1"/>
  <c r="S39" i="27" s="1"/>
  <c r="S38" i="27" s="1"/>
  <c r="S37" i="27" s="1"/>
  <c r="S36" i="27" s="1"/>
  <c r="S35" i="27" s="1"/>
  <c r="S34" i="27" s="1"/>
  <c r="S33" i="27" s="1"/>
  <c r="S32" i="27" s="1"/>
  <c r="S31" i="27" s="1"/>
  <c r="S30" i="27" s="1"/>
  <c r="S29" i="27" s="1"/>
  <c r="S28" i="27" s="1"/>
  <c r="S27" i="27" s="1"/>
  <c r="S26" i="27" s="1"/>
  <c r="S25" i="27" s="1"/>
  <c r="S24" i="27" s="1"/>
  <c r="S23" i="27" s="1"/>
  <c r="S22" i="27" s="1"/>
  <c r="S21" i="27" s="1"/>
  <c r="S20" i="27" s="1"/>
  <c r="S19" i="27" s="1"/>
  <c r="S18" i="27" s="1"/>
  <c r="S17" i="27" s="1"/>
  <c r="S16" i="27" s="1"/>
  <c r="S15" i="27" s="1"/>
  <c r="S14" i="27" s="1"/>
  <c r="S13" i="27" s="1"/>
  <c r="S12" i="27" s="1"/>
  <c r="S11" i="27" s="1"/>
  <c r="S10" i="27" s="1"/>
  <c r="S9" i="27" s="1"/>
  <c r="S8" i="27" s="1"/>
  <c r="S7" i="27" s="1"/>
  <c r="S6" i="27" s="1"/>
  <c r="S5" i="27" s="1"/>
  <c r="S4" i="27" s="1"/>
  <c r="S3" i="27" s="1"/>
  <c r="P70" i="27"/>
  <c r="P22" i="27"/>
  <c r="F42" i="10"/>
  <c r="G42" i="10" s="1"/>
  <c r="F41" i="10"/>
  <c r="G41" i="10" s="1"/>
  <c r="A249" i="27" l="1"/>
  <c r="A250" i="27" s="1"/>
  <c r="A251" i="27" s="1"/>
  <c r="S247" i="27"/>
  <c r="S246" i="27" s="1"/>
  <c r="S245" i="27" s="1"/>
  <c r="S244" i="27" s="1"/>
  <c r="S243" i="27" s="1"/>
  <c r="S242" i="27" s="1"/>
  <c r="S241" i="27" s="1"/>
  <c r="S240" i="27" s="1"/>
  <c r="S239" i="27" s="1"/>
  <c r="S238" i="27" s="1"/>
  <c r="S237" i="27" s="1"/>
  <c r="S236" i="27" s="1"/>
  <c r="S235" i="27" s="1"/>
  <c r="S234" i="27" s="1"/>
  <c r="S233" i="27" s="1"/>
  <c r="S232" i="27" s="1"/>
  <c r="S231" i="27" s="1"/>
  <c r="S230" i="27" s="1"/>
  <c r="S229" i="27" s="1"/>
  <c r="S228" i="27" s="1"/>
  <c r="S227" i="27" s="1"/>
  <c r="S226" i="27" s="1"/>
  <c r="S225" i="27" s="1"/>
  <c r="S224" i="27" s="1"/>
  <c r="S223" i="27" s="1"/>
  <c r="S222" i="27" s="1"/>
  <c r="S221" i="27" s="1"/>
  <c r="S220" i="27" s="1"/>
  <c r="S219" i="27" s="1"/>
  <c r="S218" i="27" s="1"/>
  <c r="S217" i="27" s="1"/>
  <c r="S216" i="27" s="1"/>
  <c r="S215" i="27" s="1"/>
  <c r="S214" i="27" s="1"/>
  <c r="S213" i="27" s="1"/>
  <c r="S212" i="27" s="1"/>
  <c r="S211" i="27" s="1"/>
  <c r="S210" i="27" s="1"/>
  <c r="S209" i="27" s="1"/>
  <c r="S208" i="27" s="1"/>
  <c r="S207" i="27" s="1"/>
  <c r="S206" i="27" s="1"/>
  <c r="S205" i="27" s="1"/>
  <c r="S204" i="27" s="1"/>
  <c r="S203" i="27" s="1"/>
  <c r="S202" i="27" s="1"/>
  <c r="S201" i="27" s="1"/>
  <c r="S200" i="27" s="1"/>
  <c r="S199" i="27" s="1"/>
  <c r="S198" i="27" s="1"/>
  <c r="S197" i="27" s="1"/>
  <c r="S196" i="27" s="1"/>
  <c r="S195" i="27" s="1"/>
  <c r="S194" i="27" s="1"/>
  <c r="S193" i="27" s="1"/>
  <c r="S192" i="27" s="1"/>
  <c r="S191" i="27" s="1"/>
  <c r="S190" i="27" s="1"/>
  <c r="S189" i="27" s="1"/>
  <c r="S188" i="27" s="1"/>
  <c r="S187" i="27" s="1"/>
  <c r="S186" i="27" s="1"/>
  <c r="S185" i="27" s="1"/>
  <c r="S184" i="27" s="1"/>
  <c r="S183" i="27" s="1"/>
  <c r="S182" i="27" s="1"/>
  <c r="S181" i="27" s="1"/>
  <c r="S180" i="27" s="1"/>
  <c r="S179" i="27" s="1"/>
  <c r="S178" i="27" s="1"/>
  <c r="S177" i="27" s="1"/>
  <c r="S176" i="27" s="1"/>
  <c r="S175" i="27" s="1"/>
  <c r="S174" i="27" s="1"/>
  <c r="S173" i="27" s="1"/>
  <c r="S172" i="27" s="1"/>
  <c r="S171" i="27" s="1"/>
  <c r="S170" i="27" s="1"/>
  <c r="S169" i="27" s="1"/>
  <c r="S168" i="27" s="1"/>
  <c r="S167" i="27" s="1"/>
  <c r="S166" i="27" s="1"/>
  <c r="S165" i="27" s="1"/>
  <c r="S164" i="27" s="1"/>
  <c r="S163" i="27" s="1"/>
  <c r="S162" i="27" s="1"/>
  <c r="S161" i="27" s="1"/>
  <c r="S160" i="27" s="1"/>
  <c r="S159" i="27" s="1"/>
  <c r="S158" i="27" s="1"/>
  <c r="S157" i="27" s="1"/>
  <c r="S156" i="27" s="1"/>
  <c r="S155" i="27" s="1"/>
  <c r="S154" i="27" s="1"/>
  <c r="S153" i="27" s="1"/>
  <c r="S152" i="27" s="1"/>
  <c r="S151" i="27" s="1"/>
  <c r="S150" i="27" s="1"/>
  <c r="S149" i="27" s="1"/>
  <c r="S148" i="27" s="1"/>
  <c r="S147" i="27" s="1"/>
  <c r="S146" i="27" s="1"/>
  <c r="S145" i="27" s="1"/>
  <c r="S144" i="27" s="1"/>
  <c r="S143" i="27" s="1"/>
  <c r="S142" i="27" s="1"/>
  <c r="S141" i="27" s="1"/>
  <c r="S140" i="27" s="1"/>
  <c r="S139" i="27" s="1"/>
  <c r="S138" i="27" s="1"/>
  <c r="S137" i="27" s="1"/>
  <c r="S136" i="27" s="1"/>
  <c r="S135" i="27" s="1"/>
  <c r="S134" i="27" s="1"/>
  <c r="S133" i="27" s="1"/>
  <c r="S132" i="27" s="1"/>
  <c r="S131" i="27" s="1"/>
  <c r="S130" i="27" s="1"/>
  <c r="S129" i="27" s="1"/>
  <c r="S128" i="27" s="1"/>
  <c r="S127" i="27" s="1"/>
  <c r="S126" i="27" s="1"/>
  <c r="S125" i="27" s="1"/>
  <c r="S124" i="27" s="1"/>
  <c r="S123" i="27" s="1"/>
  <c r="S122" i="27" s="1"/>
  <c r="S121" i="27" s="1"/>
  <c r="S120" i="27" s="1"/>
  <c r="S119" i="27" s="1"/>
  <c r="S118" i="27" s="1"/>
  <c r="S117" i="27" s="1"/>
  <c r="S116" i="27" s="1"/>
  <c r="S115" i="27" s="1"/>
  <c r="S114" i="27" s="1"/>
  <c r="S113" i="27" s="1"/>
  <c r="S112" i="27" s="1"/>
  <c r="S111" i="27" s="1"/>
  <c r="S110" i="27" s="1"/>
  <c r="S109" i="27" s="1"/>
  <c r="S108" i="27" s="1"/>
  <c r="S107" i="27" s="1"/>
  <c r="S106" i="27" s="1"/>
  <c r="S105" i="27" s="1"/>
  <c r="S104" i="27" s="1"/>
  <c r="S103" i="27" s="1"/>
  <c r="S102" i="27" s="1"/>
  <c r="S101" i="27" s="1"/>
  <c r="S100" i="27" s="1"/>
  <c r="S99" i="27" s="1"/>
  <c r="S98" i="27" s="1"/>
  <c r="S97" i="27" s="1"/>
  <c r="S96" i="27" s="1"/>
  <c r="S95" i="27" s="1"/>
  <c r="S94" i="27" s="1"/>
  <c r="S93" i="27" s="1"/>
  <c r="P69" i="27"/>
  <c r="P21" i="27"/>
  <c r="AH43" i="10"/>
  <c r="AG42" i="10"/>
  <c r="AH42" i="10" s="1"/>
  <c r="AG41" i="10"/>
  <c r="AH41" i="10" s="1"/>
  <c r="AF39" i="10"/>
  <c r="AG39" i="10" s="1"/>
  <c r="AF36" i="10"/>
  <c r="AG36" i="10" s="1"/>
  <c r="AF35" i="10"/>
  <c r="AG35" i="10" s="1"/>
  <c r="AF34" i="10"/>
  <c r="AG34" i="10" s="1"/>
  <c r="AF32" i="10"/>
  <c r="AG32" i="10" s="1"/>
  <c r="AH32" i="10" s="1"/>
  <c r="AC43" i="10"/>
  <c r="AD42" i="10"/>
  <c r="AE42" i="10" s="1"/>
  <c r="AD41" i="10"/>
  <c r="AE41" i="10" s="1"/>
  <c r="AC39" i="10"/>
  <c r="AD39" i="10" s="1"/>
  <c r="AC36" i="10"/>
  <c r="AD36" i="10" s="1"/>
  <c r="AC35" i="10"/>
  <c r="AD35" i="10" s="1"/>
  <c r="AC34" i="10"/>
  <c r="AD34" i="10" s="1"/>
  <c r="AC32" i="10"/>
  <c r="AD32" i="10" s="1"/>
  <c r="AE32" i="10" s="1"/>
  <c r="Z43" i="10"/>
  <c r="AA42" i="10"/>
  <c r="AB42" i="10" s="1"/>
  <c r="AA41" i="10"/>
  <c r="AB41" i="10" s="1"/>
  <c r="Z39" i="10"/>
  <c r="AA39" i="10" s="1"/>
  <c r="Z36" i="10"/>
  <c r="AA36" i="10" s="1"/>
  <c r="Z35" i="10"/>
  <c r="AA35" i="10" s="1"/>
  <c r="Z34" i="10"/>
  <c r="AA34" i="10" s="1"/>
  <c r="Z32" i="10"/>
  <c r="AA32" i="10" s="1"/>
  <c r="AB32" i="10" s="1"/>
  <c r="W43" i="10"/>
  <c r="X42" i="10"/>
  <c r="Y42" i="10" s="1"/>
  <c r="X41" i="10"/>
  <c r="Y41" i="10" s="1"/>
  <c r="W39" i="10"/>
  <c r="X39" i="10" s="1"/>
  <c r="W36" i="10"/>
  <c r="X36" i="10" s="1"/>
  <c r="W35" i="10"/>
  <c r="X35" i="10" s="1"/>
  <c r="W34" i="10"/>
  <c r="X34" i="10" s="1"/>
  <c r="W32" i="10"/>
  <c r="X32" i="10" s="1"/>
  <c r="Y32" i="10" s="1"/>
  <c r="T43" i="10"/>
  <c r="U42" i="10"/>
  <c r="V42" i="10" s="1"/>
  <c r="U41" i="10"/>
  <c r="V41" i="10" s="1"/>
  <c r="T39" i="10"/>
  <c r="U39" i="10" s="1"/>
  <c r="T36" i="10"/>
  <c r="U36" i="10" s="1"/>
  <c r="T35" i="10"/>
  <c r="U35" i="10" s="1"/>
  <c r="T34" i="10"/>
  <c r="U34" i="10" s="1"/>
  <c r="T32" i="10"/>
  <c r="U32" i="10" s="1"/>
  <c r="V32" i="10" s="1"/>
  <c r="Q43" i="10"/>
  <c r="R42" i="10"/>
  <c r="S42" i="10" s="1"/>
  <c r="R41" i="10"/>
  <c r="S41" i="10" s="1"/>
  <c r="Q39" i="10"/>
  <c r="R39" i="10" s="1"/>
  <c r="Q36" i="10"/>
  <c r="R36" i="10" s="1"/>
  <c r="Q35" i="10"/>
  <c r="R35" i="10" s="1"/>
  <c r="Q34" i="10"/>
  <c r="R34" i="10" s="1"/>
  <c r="Q32" i="10"/>
  <c r="R32" i="10" s="1"/>
  <c r="S32" i="10" s="1"/>
  <c r="N43" i="10"/>
  <c r="O42" i="10"/>
  <c r="P42" i="10" s="1"/>
  <c r="O41" i="10"/>
  <c r="P41" i="10" s="1"/>
  <c r="N39" i="10"/>
  <c r="O39" i="10" s="1"/>
  <c r="N36" i="10"/>
  <c r="O36" i="10" s="1"/>
  <c r="N35" i="10"/>
  <c r="O35" i="10" s="1"/>
  <c r="N34" i="10"/>
  <c r="O34" i="10" s="1"/>
  <c r="N32" i="10"/>
  <c r="K43" i="10"/>
  <c r="L42" i="10"/>
  <c r="M42" i="10" s="1"/>
  <c r="L41" i="10"/>
  <c r="M41" i="10" s="1"/>
  <c r="K39" i="10"/>
  <c r="L39" i="10" s="1"/>
  <c r="K36" i="10"/>
  <c r="L36" i="10" s="1"/>
  <c r="K35" i="10"/>
  <c r="L35" i="10" s="1"/>
  <c r="K34" i="10"/>
  <c r="L34" i="10" s="1"/>
  <c r="K32" i="10"/>
  <c r="L32" i="10" s="1"/>
  <c r="M32" i="10" s="1"/>
  <c r="H43" i="10"/>
  <c r="I42" i="10"/>
  <c r="J42" i="10" s="1"/>
  <c r="I41" i="10"/>
  <c r="J41" i="10" s="1"/>
  <c r="H39" i="10"/>
  <c r="I39" i="10" s="1"/>
  <c r="H36" i="10"/>
  <c r="I36" i="10" s="1"/>
  <c r="H35" i="10"/>
  <c r="I35" i="10" s="1"/>
  <c r="H34" i="10"/>
  <c r="I34" i="10" s="1"/>
  <c r="H32" i="10"/>
  <c r="I32" i="10" s="1"/>
  <c r="J32" i="10" s="1"/>
  <c r="G43" i="10"/>
  <c r="G44" i="10" s="1"/>
  <c r="E39" i="10"/>
  <c r="D39" i="10" s="1"/>
  <c r="E36" i="10"/>
  <c r="D36" i="10" s="1"/>
  <c r="E35" i="10"/>
  <c r="D35" i="10" s="1"/>
  <c r="E34" i="10"/>
  <c r="D34" i="10" s="1"/>
  <c r="E32" i="10"/>
  <c r="F32" i="10" s="1"/>
  <c r="G32" i="10" s="1"/>
  <c r="AD43" i="10" l="1"/>
  <c r="AE43" i="10" s="1"/>
  <c r="AE44" i="10" s="1"/>
  <c r="AA43" i="10"/>
  <c r="AB43" i="10" s="1"/>
  <c r="AB44" i="10" s="1"/>
  <c r="X43" i="10"/>
  <c r="Y43" i="10" s="1"/>
  <c r="Y44" i="10" s="1"/>
  <c r="U43" i="10"/>
  <c r="V43" i="10" s="1"/>
  <c r="V44" i="10" s="1"/>
  <c r="R43" i="10"/>
  <c r="S43" i="10" s="1"/>
  <c r="S44" i="10" s="1"/>
  <c r="O43" i="10"/>
  <c r="P43" i="10" s="1"/>
  <c r="P44" i="10" s="1"/>
  <c r="L43" i="10"/>
  <c r="M43" i="10" s="1"/>
  <c r="M44" i="10" s="1"/>
  <c r="I43" i="10"/>
  <c r="J43" i="10" s="1"/>
  <c r="J44" i="10" s="1"/>
  <c r="O32" i="10"/>
  <c r="P32" i="10" s="1"/>
  <c r="V36" i="10"/>
  <c r="Y36" i="10"/>
  <c r="AB36" i="10"/>
  <c r="A252" i="27"/>
  <c r="Q250" i="27"/>
  <c r="AH44" i="10"/>
  <c r="J35" i="10"/>
  <c r="M35" i="10"/>
  <c r="P35" i="10"/>
  <c r="S35" i="10"/>
  <c r="V35" i="10"/>
  <c r="Y35" i="10"/>
  <c r="AB35" i="10"/>
  <c r="AE35" i="10"/>
  <c r="AH35" i="10"/>
  <c r="M39" i="10"/>
  <c r="P39" i="10"/>
  <c r="S39" i="10"/>
  <c r="V39" i="10"/>
  <c r="Y39" i="10"/>
  <c r="AB39" i="10"/>
  <c r="AE39" i="10"/>
  <c r="AH39" i="10"/>
  <c r="AH34" i="10"/>
  <c r="J34" i="10"/>
  <c r="P34" i="10"/>
  <c r="AE34" i="10"/>
  <c r="M34" i="10"/>
  <c r="S34" i="10"/>
  <c r="J39" i="10"/>
  <c r="P36" i="10"/>
  <c r="M36" i="10"/>
  <c r="AH36" i="10"/>
  <c r="J36" i="10"/>
  <c r="S36" i="10"/>
  <c r="AE36" i="10"/>
  <c r="V34" i="10"/>
  <c r="Y34" i="10"/>
  <c r="AB34" i="10"/>
  <c r="P20" i="27"/>
  <c r="P68" i="27"/>
  <c r="F35" i="10"/>
  <c r="G35" i="10" s="1"/>
  <c r="F34" i="10"/>
  <c r="G34" i="10" s="1"/>
  <c r="F39" i="10"/>
  <c r="G39" i="10" s="1"/>
  <c r="F36" i="10"/>
  <c r="G36" i="10" s="1"/>
  <c r="F13" i="21" l="1"/>
  <c r="G13" i="21" s="1"/>
  <c r="F12" i="21"/>
  <c r="G12" i="21" s="1"/>
  <c r="F18" i="21"/>
  <c r="G18" i="21" s="1"/>
  <c r="F17" i="21"/>
  <c r="G17" i="21" s="1"/>
  <c r="F16" i="21"/>
  <c r="G16" i="21" s="1"/>
  <c r="F11" i="21"/>
  <c r="F15" i="21"/>
  <c r="F19" i="21"/>
  <c r="G19" i="21" s="1"/>
  <c r="H19" i="21" s="1"/>
  <c r="F14" i="21"/>
  <c r="G14" i="21" s="1"/>
  <c r="A253" i="27"/>
  <c r="A254" i="27" s="1"/>
  <c r="P67" i="27"/>
  <c r="P19" i="27"/>
  <c r="E10" i="23" l="1"/>
  <c r="D9" i="23"/>
  <c r="H17" i="21"/>
  <c r="A255" i="27"/>
  <c r="A256" i="27" s="1"/>
  <c r="A257" i="27" s="1"/>
  <c r="A258" i="27" s="1"/>
  <c r="A259" i="27" s="1"/>
  <c r="A260" i="27" s="1"/>
  <c r="A261" i="27" s="1"/>
  <c r="A262" i="27" s="1"/>
  <c r="A263" i="27" s="1"/>
  <c r="A264" i="27" s="1"/>
  <c r="A265" i="27" s="1"/>
  <c r="A266" i="27" s="1"/>
  <c r="A267" i="27" s="1"/>
  <c r="A268" i="27" s="1"/>
  <c r="A269" i="27" s="1"/>
  <c r="A270" i="27" s="1"/>
  <c r="A271" i="27" s="1"/>
  <c r="A272" i="27" s="1"/>
  <c r="A273" i="27" s="1"/>
  <c r="A274" i="27" s="1"/>
  <c r="A275" i="27" s="1"/>
  <c r="A276" i="27" s="1"/>
  <c r="A277" i="27" s="1"/>
  <c r="A278" i="27" s="1"/>
  <c r="A279" i="27" s="1"/>
  <c r="A280" i="27" s="1"/>
  <c r="A281" i="27" s="1"/>
  <c r="A282" i="27" s="1"/>
  <c r="A283" i="27" s="1"/>
  <c r="A284" i="27" s="1"/>
  <c r="A285" i="27" s="1"/>
  <c r="A286" i="27" s="1"/>
  <c r="A287" i="27" s="1"/>
  <c r="A288" i="27" s="1"/>
  <c r="A289" i="27" s="1"/>
  <c r="A290" i="27" s="1"/>
  <c r="A291" i="27" s="1"/>
  <c r="A292" i="27" s="1"/>
  <c r="A293" i="27" s="1"/>
  <c r="A294" i="27" s="1"/>
  <c r="A295" i="27" s="1"/>
  <c r="A296" i="27" s="1"/>
  <c r="A297" i="27" s="1"/>
  <c r="A298" i="27" s="1"/>
  <c r="A299" i="27" s="1"/>
  <c r="A300" i="27" s="1"/>
  <c r="A301" i="27" s="1"/>
  <c r="A302" i="27" s="1"/>
  <c r="A303" i="27" s="1"/>
  <c r="A304" i="27" s="1"/>
  <c r="A305" i="27" s="1"/>
  <c r="A306" i="27" s="1"/>
  <c r="A307" i="27" s="1"/>
  <c r="A308" i="27" s="1"/>
  <c r="A309" i="27" s="1"/>
  <c r="S253" i="27"/>
  <c r="P18" i="27"/>
  <c r="E22" i="20"/>
  <c r="A310" i="27" l="1"/>
  <c r="A311" i="27" s="1"/>
  <c r="A312" i="27" s="1"/>
  <c r="A313" i="27" s="1"/>
  <c r="A314" i="27" s="1"/>
  <c r="A315" i="27" s="1"/>
  <c r="A316" i="27" s="1"/>
  <c r="A317" i="27" s="1"/>
  <c r="A318" i="27" s="1"/>
  <c r="A319" i="27" s="1"/>
  <c r="Q308" i="27"/>
  <c r="Q307" i="27" s="1"/>
  <c r="P17" i="27"/>
  <c r="G39" i="23"/>
  <c r="G32" i="23"/>
  <c r="G26" i="23"/>
  <c r="G21" i="23"/>
  <c r="A320" i="27" l="1"/>
  <c r="A321" i="27" s="1"/>
  <c r="A322" i="27" s="1"/>
  <c r="A323" i="27" s="1"/>
  <c r="A324" i="27" s="1"/>
  <c r="A325" i="27" s="1"/>
  <c r="A326" i="27" s="1"/>
  <c r="A327" i="27" s="1"/>
  <c r="A328" i="27" s="1"/>
  <c r="A329" i="27" s="1"/>
  <c r="A330" i="27" s="1"/>
  <c r="A331" i="27" s="1"/>
  <c r="A332" i="27" s="1"/>
  <c r="A333" i="27" s="1"/>
  <c r="A334" i="27" s="1"/>
  <c r="A335" i="27" s="1"/>
  <c r="A336" i="27" s="1"/>
  <c r="A337" i="27" s="1"/>
  <c r="A338" i="27" s="1"/>
  <c r="A339" i="27" s="1"/>
  <c r="A340" i="27" s="1"/>
  <c r="A341" i="27" s="1"/>
  <c r="A342" i="27" s="1"/>
  <c r="A343" i="27" s="1"/>
  <c r="A344" i="27" s="1"/>
  <c r="Q318" i="27"/>
  <c r="Q317" i="27" s="1"/>
  <c r="P16" i="27"/>
  <c r="C8" i="23"/>
  <c r="A345" i="27" l="1"/>
  <c r="A346" i="27" s="1"/>
  <c r="A347" i="27" s="1"/>
  <c r="A348" i="27" s="1"/>
  <c r="A349" i="27" s="1"/>
  <c r="A350" i="27" s="1"/>
  <c r="A351" i="27" s="1"/>
  <c r="A352" i="27" s="1"/>
  <c r="A353" i="27" s="1"/>
  <c r="A354" i="27" s="1"/>
  <c r="A355" i="27" s="1"/>
  <c r="A356" i="27" s="1"/>
  <c r="A357" i="27" s="1"/>
  <c r="A358" i="27" s="1"/>
  <c r="A359" i="27" s="1"/>
  <c r="A360" i="27" s="1"/>
  <c r="A361" i="27" s="1"/>
  <c r="A362" i="27" s="1"/>
  <c r="A363" i="27" s="1"/>
  <c r="A364" i="27" s="1"/>
  <c r="A365" i="27" s="1"/>
  <c r="A366" i="27" s="1"/>
  <c r="A367" i="27" s="1"/>
  <c r="A368" i="27" s="1"/>
  <c r="A369" i="27" s="1"/>
  <c r="A370" i="27" s="1"/>
  <c r="A371" i="27" s="1"/>
  <c r="A372" i="27" s="1"/>
  <c r="A373" i="27" s="1"/>
  <c r="A374" i="27" s="1"/>
  <c r="A375" i="27" s="1"/>
  <c r="A376" i="27" s="1"/>
  <c r="A377" i="27" s="1"/>
  <c r="S343" i="27"/>
  <c r="S342" i="27" s="1"/>
  <c r="S341" i="27" s="1"/>
  <c r="S340" i="27" s="1"/>
  <c r="S339" i="27" s="1"/>
  <c r="S338" i="27" s="1"/>
  <c r="S337" i="27" s="1"/>
  <c r="S336" i="27" s="1"/>
  <c r="S335" i="27" s="1"/>
  <c r="S334" i="27" s="1"/>
  <c r="S333" i="27" s="1"/>
  <c r="S332" i="27" s="1"/>
  <c r="S331" i="27" s="1"/>
  <c r="S330" i="27" s="1"/>
  <c r="S329" i="27" s="1"/>
  <c r="S328" i="27" s="1"/>
  <c r="S327" i="27" s="1"/>
  <c r="S326" i="27" s="1"/>
  <c r="S325" i="27" s="1"/>
  <c r="S324" i="27" s="1"/>
  <c r="S323" i="27" s="1"/>
  <c r="S322" i="27" s="1"/>
  <c r="S321" i="27" s="1"/>
  <c r="S320" i="27" s="1"/>
  <c r="S319" i="27" s="1"/>
  <c r="S318" i="27" s="1"/>
  <c r="S317" i="27" s="1"/>
  <c r="S316" i="27" s="1"/>
  <c r="S315" i="27" s="1"/>
  <c r="S314" i="27" s="1"/>
  <c r="S313" i="27" s="1"/>
  <c r="S312" i="27" s="1"/>
  <c r="S311" i="27" s="1"/>
  <c r="S310" i="27" s="1"/>
  <c r="S309" i="27" s="1"/>
  <c r="S308" i="27" s="1"/>
  <c r="S307" i="27" s="1"/>
  <c r="S306" i="27" s="1"/>
  <c r="S305" i="27" s="1"/>
  <c r="S304" i="27" s="1"/>
  <c r="S303" i="27" s="1"/>
  <c r="S302" i="27" s="1"/>
  <c r="S301" i="27" s="1"/>
  <c r="S300" i="27" s="1"/>
  <c r="S299" i="27" s="1"/>
  <c r="S298" i="27" s="1"/>
  <c r="S297" i="27" s="1"/>
  <c r="S296" i="27" s="1"/>
  <c r="S295" i="27" s="1"/>
  <c r="S294" i="27" s="1"/>
  <c r="S293" i="27" s="1"/>
  <c r="S292" i="27" s="1"/>
  <c r="S291" i="27" s="1"/>
  <c r="S290" i="27" s="1"/>
  <c r="S289" i="27" s="1"/>
  <c r="S288" i="27" s="1"/>
  <c r="S287" i="27" s="1"/>
  <c r="S286" i="27" s="1"/>
  <c r="S285" i="27" s="1"/>
  <c r="S284" i="27" s="1"/>
  <c r="S283" i="27" s="1"/>
  <c r="S282" i="27" s="1"/>
  <c r="S281" i="27" s="1"/>
  <c r="S280" i="27" s="1"/>
  <c r="S279" i="27" s="1"/>
  <c r="S278" i="27" s="1"/>
  <c r="S277" i="27" s="1"/>
  <c r="S276" i="27" s="1"/>
  <c r="S275" i="27" s="1"/>
  <c r="S274" i="27" s="1"/>
  <c r="S273" i="27" s="1"/>
  <c r="S272" i="27" s="1"/>
  <c r="S271" i="27" s="1"/>
  <c r="S270" i="27" s="1"/>
  <c r="S269" i="27" s="1"/>
  <c r="S268" i="27" s="1"/>
  <c r="S267" i="27" s="1"/>
  <c r="S266" i="27" s="1"/>
  <c r="S265" i="27" s="1"/>
  <c r="S264" i="27" s="1"/>
  <c r="S263" i="27" s="1"/>
  <c r="S262" i="27" s="1"/>
  <c r="S261" i="27" s="1"/>
  <c r="S260" i="27" s="1"/>
  <c r="S259" i="27" s="1"/>
  <c r="S258" i="27" s="1"/>
  <c r="S257" i="27" s="1"/>
  <c r="S256" i="27" s="1"/>
  <c r="P15" i="27"/>
  <c r="G8" i="23"/>
  <c r="E49" i="22"/>
  <c r="E50" i="22" s="1"/>
  <c r="D23" i="23" l="1"/>
  <c r="F23" i="23" s="1"/>
  <c r="H23" i="23" s="1"/>
  <c r="G16" i="23"/>
  <c r="H8" i="23"/>
  <c r="A378" i="27"/>
  <c r="A379" i="27" s="1"/>
  <c r="A380" i="27" s="1"/>
  <c r="A381" i="27" s="1"/>
  <c r="A382" i="27" s="1"/>
  <c r="A383" i="27" s="1"/>
  <c r="A384" i="27" s="1"/>
  <c r="A385" i="27" s="1"/>
  <c r="A386" i="27" s="1"/>
  <c r="A387" i="27" s="1"/>
  <c r="A388" i="27" s="1"/>
  <c r="A389" i="27" s="1"/>
  <c r="A390" i="27" s="1"/>
  <c r="A391" i="27" s="1"/>
  <c r="A392" i="27" s="1"/>
  <c r="A393" i="27" s="1"/>
  <c r="A394" i="27" s="1"/>
  <c r="A395" i="27" s="1"/>
  <c r="A396" i="27" s="1"/>
  <c r="A397" i="27" s="1"/>
  <c r="A398" i="27" s="1"/>
  <c r="A399" i="27" s="1"/>
  <c r="A400" i="27" s="1"/>
  <c r="A401" i="27" s="1"/>
  <c r="A402" i="27" s="1"/>
  <c r="A403" i="27" s="1"/>
  <c r="A404" i="27" s="1"/>
  <c r="A405" i="27" s="1"/>
  <c r="A406" i="27" s="1"/>
  <c r="A407" i="27" s="1"/>
  <c r="A408" i="27" s="1"/>
  <c r="A409" i="27" s="1"/>
  <c r="A410" i="27" s="1"/>
  <c r="A411" i="27" s="1"/>
  <c r="A412" i="27" s="1"/>
  <c r="A413" i="27" s="1"/>
  <c r="A414" i="27" s="1"/>
  <c r="A415" i="27" s="1"/>
  <c r="A416" i="27" s="1"/>
  <c r="A417" i="27" s="1"/>
  <c r="A418" i="27" s="1"/>
  <c r="A419" i="27" s="1"/>
  <c r="A420" i="27" s="1"/>
  <c r="A421" i="27" s="1"/>
  <c r="A422" i="27" s="1"/>
  <c r="A423" i="27" s="1"/>
  <c r="A424" i="27" s="1"/>
  <c r="A425" i="27" s="1"/>
  <c r="A426" i="27" s="1"/>
  <c r="A427" i="27" s="1"/>
  <c r="A428" i="27" s="1"/>
  <c r="A429" i="27" s="1"/>
  <c r="A430" i="27" s="1"/>
  <c r="A431" i="27" s="1"/>
  <c r="A432" i="27" s="1"/>
  <c r="A433" i="27" s="1"/>
  <c r="A434" i="27" s="1"/>
  <c r="A435" i="27" s="1"/>
  <c r="A436" i="27" s="1"/>
  <c r="A437" i="27" s="1"/>
  <c r="A438" i="27" s="1"/>
  <c r="A439" i="27" s="1"/>
  <c r="A440" i="27" s="1"/>
  <c r="A441" i="27" s="1"/>
  <c r="A442" i="27" s="1"/>
  <c r="A443" i="27" s="1"/>
  <c r="A444" i="27" s="1"/>
  <c r="A445" i="27" s="1"/>
  <c r="A446" i="27" s="1"/>
  <c r="A447" i="27" s="1"/>
  <c r="A448" i="27" s="1"/>
  <c r="A449" i="27" s="1"/>
  <c r="A450" i="27" s="1"/>
  <c r="A451" i="27" s="1"/>
  <c r="A452" i="27" s="1"/>
  <c r="A453" i="27" s="1"/>
  <c r="A454" i="27" s="1"/>
  <c r="A455" i="27" s="1"/>
  <c r="A456" i="27" s="1"/>
  <c r="A457" i="27" s="1"/>
  <c r="P14" i="27"/>
  <c r="D22" i="23"/>
  <c r="F22" i="23" s="1"/>
  <c r="H22" i="23" s="1"/>
  <c r="A458" i="27" l="1"/>
  <c r="A459" i="27" s="1"/>
  <c r="A460" i="27" s="1"/>
  <c r="A461" i="27" s="1"/>
  <c r="A462" i="27" s="1"/>
  <c r="A463" i="27" s="1"/>
  <c r="S456" i="27"/>
  <c r="S455" i="27" s="1"/>
  <c r="S454" i="27" s="1"/>
  <c r="S453" i="27" s="1"/>
  <c r="S452" i="27" s="1"/>
  <c r="S451" i="27" s="1"/>
  <c r="S450" i="27" s="1"/>
  <c r="S449" i="27" s="1"/>
  <c r="S448" i="27" s="1"/>
  <c r="S447" i="27" s="1"/>
  <c r="S446" i="27" s="1"/>
  <c r="S445" i="27" s="1"/>
  <c r="S444" i="27" s="1"/>
  <c r="S443" i="27" s="1"/>
  <c r="S442" i="27" s="1"/>
  <c r="S441" i="27" s="1"/>
  <c r="S440" i="27" s="1"/>
  <c r="S439" i="27" s="1"/>
  <c r="S438" i="27" s="1"/>
  <c r="S437" i="27" s="1"/>
  <c r="S436" i="27" s="1"/>
  <c r="S435" i="27" s="1"/>
  <c r="S434" i="27" s="1"/>
  <c r="S433" i="27" s="1"/>
  <c r="S432" i="27" s="1"/>
  <c r="S431" i="27" s="1"/>
  <c r="S430" i="27" s="1"/>
  <c r="S429" i="27" s="1"/>
  <c r="S428" i="27" s="1"/>
  <c r="S427" i="27" s="1"/>
  <c r="S426" i="27" s="1"/>
  <c r="S425" i="27" s="1"/>
  <c r="S424" i="27" s="1"/>
  <c r="S423" i="27" s="1"/>
  <c r="S422" i="27" s="1"/>
  <c r="S421" i="27" s="1"/>
  <c r="S420" i="27" s="1"/>
  <c r="S419" i="27" s="1"/>
  <c r="S418" i="27" s="1"/>
  <c r="S417" i="27" s="1"/>
  <c r="S416" i="27" s="1"/>
  <c r="S415" i="27" s="1"/>
  <c r="S414" i="27" s="1"/>
  <c r="S413" i="27" s="1"/>
  <c r="S412" i="27" s="1"/>
  <c r="S411" i="27" s="1"/>
  <c r="S410" i="27" s="1"/>
  <c r="S409" i="27" s="1"/>
  <c r="S408" i="27" s="1"/>
  <c r="S407" i="27" s="1"/>
  <c r="S406" i="27" s="1"/>
  <c r="S405" i="27" s="1"/>
  <c r="S404" i="27" s="1"/>
  <c r="S403" i="27" s="1"/>
  <c r="S402" i="27" s="1"/>
  <c r="S401" i="27" s="1"/>
  <c r="S400" i="27" s="1"/>
  <c r="S399" i="27" s="1"/>
  <c r="S398" i="27" s="1"/>
  <c r="S397" i="27" s="1"/>
  <c r="S396" i="27" s="1"/>
  <c r="S395" i="27" s="1"/>
  <c r="S394" i="27" s="1"/>
  <c r="S393" i="27" s="1"/>
  <c r="S392" i="27" s="1"/>
  <c r="S391" i="27" s="1"/>
  <c r="S390" i="27" s="1"/>
  <c r="S389" i="27" s="1"/>
  <c r="S388" i="27" s="1"/>
  <c r="S387" i="27" s="1"/>
  <c r="S386" i="27" s="1"/>
  <c r="S385" i="27" s="1"/>
  <c r="S384" i="27" s="1"/>
  <c r="S383" i="27" s="1"/>
  <c r="S382" i="27" s="1"/>
  <c r="S381" i="27" s="1"/>
  <c r="S380" i="27" s="1"/>
  <c r="S379" i="27" s="1"/>
  <c r="S378" i="27" s="1"/>
  <c r="S377" i="27" s="1"/>
  <c r="S376" i="27" s="1"/>
  <c r="S375" i="27" s="1"/>
  <c r="S374" i="27" s="1"/>
  <c r="S373" i="27" s="1"/>
  <c r="S372" i="27" s="1"/>
  <c r="S371" i="27" s="1"/>
  <c r="S370" i="27" s="1"/>
  <c r="S369" i="27" s="1"/>
  <c r="S368" i="27" s="1"/>
  <c r="P13" i="27"/>
  <c r="S367" i="27" l="1"/>
  <c r="S366" i="27" s="1"/>
  <c r="S365" i="27" s="1"/>
  <c r="S364" i="27" s="1"/>
  <c r="S363" i="27" s="1"/>
  <c r="S362" i="27" s="1"/>
  <c r="S361" i="27" s="1"/>
  <c r="S360" i="27" s="1"/>
  <c r="S359" i="27" s="1"/>
  <c r="S358" i="27" s="1"/>
  <c r="S357" i="27" s="1"/>
  <c r="S356" i="27" s="1"/>
  <c r="S355" i="27" s="1"/>
  <c r="S354" i="27" s="1"/>
  <c r="S353" i="27" s="1"/>
  <c r="S352" i="27" s="1"/>
  <c r="S351" i="27" s="1"/>
  <c r="S350" i="27" s="1"/>
  <c r="S349" i="27" s="1"/>
  <c r="S348" i="27" s="1"/>
  <c r="S347" i="27" s="1"/>
  <c r="S346" i="27" s="1"/>
  <c r="A464" i="27"/>
  <c r="A465" i="27" s="1"/>
  <c r="A466" i="27" s="1"/>
  <c r="A467" i="27" s="1"/>
  <c r="A468" i="27" s="1"/>
  <c r="A469" i="27" s="1"/>
  <c r="A470" i="27" s="1"/>
  <c r="A471" i="27" s="1"/>
  <c r="A472" i="27" s="1"/>
  <c r="A473" i="27" s="1"/>
  <c r="A474" i="27" s="1"/>
  <c r="A475" i="27" s="1"/>
  <c r="A476" i="27" s="1"/>
  <c r="A477" i="27" s="1"/>
  <c r="A478" i="27" s="1"/>
  <c r="A479" i="27" s="1"/>
  <c r="A480" i="27" s="1"/>
  <c r="A481" i="27" s="1"/>
  <c r="A482" i="27" s="1"/>
  <c r="A483" i="27" s="1"/>
  <c r="A484" i="27" s="1"/>
  <c r="A485" i="27" s="1"/>
  <c r="A486" i="27" s="1"/>
  <c r="A487" i="27" s="1"/>
  <c r="A488" i="27" s="1"/>
  <c r="A489" i="27" s="1"/>
  <c r="A490" i="27" s="1"/>
  <c r="A491" i="27" s="1"/>
  <c r="A492" i="27" s="1"/>
  <c r="A493" i="27" s="1"/>
  <c r="A494" i="27" s="1"/>
  <c r="A495" i="27" s="1"/>
  <c r="A496" i="27" s="1"/>
  <c r="A497" i="27" s="1"/>
  <c r="A498" i="27" s="1"/>
  <c r="A499" i="27" s="1"/>
  <c r="A500" i="27" s="1"/>
  <c r="A501" i="27" s="1"/>
  <c r="S501" i="27" s="1"/>
  <c r="S500" i="27" s="1"/>
  <c r="S499" i="27" s="1"/>
  <c r="S498" i="27" s="1"/>
  <c r="S497" i="27" s="1"/>
  <c r="S496" i="27" s="1"/>
  <c r="S495" i="27" s="1"/>
  <c r="S494" i="27" s="1"/>
  <c r="S493" i="27" s="1"/>
  <c r="S492" i="27" s="1"/>
  <c r="S491" i="27" s="1"/>
  <c r="S490" i="27" s="1"/>
  <c r="S489" i="27" s="1"/>
  <c r="S488" i="27" s="1"/>
  <c r="S487" i="27" s="1"/>
  <c r="S486" i="27" s="1"/>
  <c r="S485" i="27" s="1"/>
  <c r="S484" i="27" s="1"/>
  <c r="S483" i="27" s="1"/>
  <c r="S482" i="27" s="1"/>
  <c r="S481" i="27" s="1"/>
  <c r="S480" i="27" s="1"/>
  <c r="S479" i="27" s="1"/>
  <c r="S478" i="27" s="1"/>
  <c r="S477" i="27" s="1"/>
  <c r="S476" i="27" s="1"/>
  <c r="S475" i="27" s="1"/>
  <c r="S474" i="27" s="1"/>
  <c r="S473" i="27" s="1"/>
  <c r="S472" i="27" s="1"/>
  <c r="S471" i="27" s="1"/>
  <c r="S470" i="27" s="1"/>
  <c r="S469" i="27" s="1"/>
  <c r="S468" i="27" s="1"/>
  <c r="S467" i="27" s="1"/>
  <c r="S466" i="27" s="1"/>
  <c r="S465" i="27" s="1"/>
  <c r="S462" i="27"/>
  <c r="P12" i="27"/>
  <c r="U14" i="8"/>
  <c r="AV14" i="8" s="1"/>
  <c r="V14" i="8"/>
  <c r="W14" i="8"/>
  <c r="X14" i="8"/>
  <c r="Y14" i="8"/>
  <c r="AA14" i="8" s="1"/>
  <c r="Z14" i="8"/>
  <c r="AC14" i="8"/>
  <c r="AD14" i="8"/>
  <c r="AE14" i="8"/>
  <c r="AG14" i="8" s="1"/>
  <c r="AF14" i="8"/>
  <c r="AK14" i="8"/>
  <c r="AM14" i="8"/>
  <c r="AN14" i="8"/>
  <c r="AS14" i="8"/>
  <c r="AU14" i="8"/>
  <c r="BF14" i="8"/>
  <c r="BH14" i="8"/>
  <c r="BI14" i="8"/>
  <c r="BN14" i="8"/>
  <c r="BP14" i="8"/>
  <c r="CL14" i="8"/>
  <c r="CN14" i="8"/>
  <c r="U15" i="8"/>
  <c r="AV15" i="8" s="1"/>
  <c r="V15" i="8"/>
  <c r="W15" i="8"/>
  <c r="X15" i="8"/>
  <c r="AF15" i="8" s="1"/>
  <c r="Y15" i="8"/>
  <c r="AA15" i="8" s="1"/>
  <c r="Z15" i="8"/>
  <c r="AC15" i="8"/>
  <c r="AD15" i="8"/>
  <c r="AE15" i="8"/>
  <c r="AG15" i="8" s="1"/>
  <c r="AK15" i="8"/>
  <c r="AM15" i="8"/>
  <c r="AN15" i="8"/>
  <c r="AS15" i="8"/>
  <c r="AU15" i="8"/>
  <c r="BF15" i="8"/>
  <c r="BH15" i="8"/>
  <c r="BI15" i="8"/>
  <c r="BN15" i="8"/>
  <c r="BP15" i="8"/>
  <c r="CL15" i="8"/>
  <c r="CN15" i="8"/>
  <c r="CO15" i="8" s="1"/>
  <c r="U16" i="8"/>
  <c r="V16" i="8"/>
  <c r="W16" i="8"/>
  <c r="X16" i="8"/>
  <c r="Y16" i="8"/>
  <c r="AA16" i="8" s="1"/>
  <c r="AC16" i="8"/>
  <c r="AD16" i="8"/>
  <c r="AE16" i="8"/>
  <c r="AG16" i="8" s="1"/>
  <c r="AK16" i="8"/>
  <c r="AM16" i="8"/>
  <c r="AN16" i="8"/>
  <c r="AS16" i="8"/>
  <c r="AU16" i="8"/>
  <c r="AV16" i="8"/>
  <c r="BF16" i="8"/>
  <c r="BH16" i="8"/>
  <c r="BI16" i="8"/>
  <c r="BN16" i="8"/>
  <c r="BP16" i="8"/>
  <c r="CL16" i="8"/>
  <c r="CM16" i="8"/>
  <c r="CN16" i="8"/>
  <c r="CO16" i="8" s="1"/>
  <c r="U17" i="8"/>
  <c r="AV17" i="8" s="1"/>
  <c r="V17" i="8"/>
  <c r="W17" i="8"/>
  <c r="X17" i="8"/>
  <c r="Y17" i="8"/>
  <c r="AA17" i="8" s="1"/>
  <c r="Z17" i="8"/>
  <c r="AC17" i="8"/>
  <c r="AD17" i="8"/>
  <c r="AE17" i="8"/>
  <c r="AG17" i="8" s="1"/>
  <c r="AF17" i="8"/>
  <c r="AK17" i="8"/>
  <c r="AM17" i="8"/>
  <c r="AN17" i="8"/>
  <c r="AS17" i="8"/>
  <c r="AU17" i="8"/>
  <c r="BF17" i="8"/>
  <c r="BH17" i="8"/>
  <c r="BI17" i="8"/>
  <c r="BN17" i="8"/>
  <c r="BP17" i="8"/>
  <c r="CL17" i="8"/>
  <c r="CN17" i="8"/>
  <c r="CO17" i="8"/>
  <c r="U18" i="8"/>
  <c r="AV18" i="8" s="1"/>
  <c r="V18" i="8"/>
  <c r="W18" i="8"/>
  <c r="X18" i="8"/>
  <c r="Y18" i="8"/>
  <c r="AA18" i="8" s="1"/>
  <c r="Z18" i="8"/>
  <c r="AC18" i="8"/>
  <c r="AD18" i="8"/>
  <c r="AE18" i="8"/>
  <c r="AG18" i="8" s="1"/>
  <c r="AF18" i="8"/>
  <c r="AH18" i="8" s="1"/>
  <c r="BG18" i="8" s="1"/>
  <c r="BL18" i="8" s="1"/>
  <c r="AK18" i="8"/>
  <c r="AM18" i="8"/>
  <c r="AN18" i="8"/>
  <c r="AS18" i="8"/>
  <c r="AU18" i="8"/>
  <c r="BF18" i="8"/>
  <c r="BH18" i="8"/>
  <c r="BI18" i="8"/>
  <c r="BN18" i="8"/>
  <c r="BP18" i="8"/>
  <c r="CL18" i="8"/>
  <c r="CN18" i="8"/>
  <c r="CO18" i="8" s="1"/>
  <c r="U19" i="8"/>
  <c r="V19" i="8"/>
  <c r="W19" i="8"/>
  <c r="X19" i="8"/>
  <c r="Y19" i="8"/>
  <c r="AA19" i="8" s="1"/>
  <c r="Z19" i="8"/>
  <c r="AC19" i="8"/>
  <c r="AD19" i="8"/>
  <c r="AE19" i="8"/>
  <c r="AG19" i="8" s="1"/>
  <c r="AF19" i="8"/>
  <c r="AK19" i="8"/>
  <c r="AM19" i="8"/>
  <c r="AN19" i="8"/>
  <c r="AS19" i="8"/>
  <c r="AU19" i="8"/>
  <c r="AV19" i="8"/>
  <c r="BF19" i="8"/>
  <c r="BH19" i="8"/>
  <c r="BI19" i="8"/>
  <c r="BN19" i="8"/>
  <c r="BP19" i="8"/>
  <c r="CL19" i="8"/>
  <c r="CM19" i="8"/>
  <c r="CN19" i="8"/>
  <c r="CO19" i="8" s="1"/>
  <c r="U20" i="8"/>
  <c r="V20" i="8"/>
  <c r="W20" i="8"/>
  <c r="X20" i="8"/>
  <c r="Y20" i="8"/>
  <c r="Z20" i="8"/>
  <c r="AA20" i="8"/>
  <c r="AB20" i="8"/>
  <c r="AC20" i="8"/>
  <c r="AD20" i="8"/>
  <c r="AE20" i="8"/>
  <c r="AF20" i="8"/>
  <c r="AG20" i="8"/>
  <c r="AH20" i="8"/>
  <c r="BG20" i="8" s="1"/>
  <c r="BL20" i="8" s="1"/>
  <c r="AK20" i="8"/>
  <c r="AM20" i="8"/>
  <c r="AN20" i="8"/>
  <c r="AS20" i="8"/>
  <c r="AU20" i="8"/>
  <c r="AV20" i="8"/>
  <c r="BC20" i="8"/>
  <c r="BF20" i="8"/>
  <c r="BH20" i="8"/>
  <c r="BI20" i="8"/>
  <c r="BN20" i="8"/>
  <c r="BP20" i="8"/>
  <c r="CA20" i="8"/>
  <c r="CF20" i="8"/>
  <c r="CL20" i="8"/>
  <c r="CM20" i="8"/>
  <c r="CN20" i="8"/>
  <c r="CO20" i="8"/>
  <c r="U21" i="8"/>
  <c r="V21" i="8"/>
  <c r="W21" i="8"/>
  <c r="X21" i="8"/>
  <c r="Y21" i="8"/>
  <c r="Z21" i="8"/>
  <c r="AA21" i="8"/>
  <c r="AB21" i="8"/>
  <c r="AL21" i="8" s="1"/>
  <c r="AQ21" i="8" s="1"/>
  <c r="AC21" i="8"/>
  <c r="AD21" i="8"/>
  <c r="AE21" i="8"/>
  <c r="AF21" i="8"/>
  <c r="AG21" i="8"/>
  <c r="AH21" i="8"/>
  <c r="AK21" i="8"/>
  <c r="AM21" i="8"/>
  <c r="AN21" i="8"/>
  <c r="AS21" i="8"/>
  <c r="AU21" i="8"/>
  <c r="AV21" i="8"/>
  <c r="BC21" i="8"/>
  <c r="BF21" i="8"/>
  <c r="BH21" i="8"/>
  <c r="BI21" i="8"/>
  <c r="BN21" i="8"/>
  <c r="BP21" i="8"/>
  <c r="CA21" i="8"/>
  <c r="CF21" i="8"/>
  <c r="CL21" i="8"/>
  <c r="CM21" i="8"/>
  <c r="CN21" i="8"/>
  <c r="CO21" i="8"/>
  <c r="U22" i="8"/>
  <c r="V22" i="8"/>
  <c r="W22" i="8"/>
  <c r="X22" i="8"/>
  <c r="Y22" i="8"/>
  <c r="Z22" i="8"/>
  <c r="AA22" i="8"/>
  <c r="AB22" i="8"/>
  <c r="AC22" i="8"/>
  <c r="AD22" i="8"/>
  <c r="AE22" i="8"/>
  <c r="AF22" i="8"/>
  <c r="AG22" i="8"/>
  <c r="AH22" i="8"/>
  <c r="BG22" i="8" s="1"/>
  <c r="BL22" i="8" s="1"/>
  <c r="AK22" i="8"/>
  <c r="AM22" i="8"/>
  <c r="AN22" i="8"/>
  <c r="AS22" i="8"/>
  <c r="AU22" i="8"/>
  <c r="AV22" i="8"/>
  <c r="BC22" i="8"/>
  <c r="BF22" i="8"/>
  <c r="BH22" i="8"/>
  <c r="BI22" i="8"/>
  <c r="BN22" i="8"/>
  <c r="BP22" i="8"/>
  <c r="CA22" i="8"/>
  <c r="CF22" i="8"/>
  <c r="CL22" i="8"/>
  <c r="CM22" i="8"/>
  <c r="CN22" i="8"/>
  <c r="CO22" i="8"/>
  <c r="U23" i="8"/>
  <c r="V23" i="8"/>
  <c r="W23" i="8"/>
  <c r="X23" i="8"/>
  <c r="Y23" i="8"/>
  <c r="Z23" i="8"/>
  <c r="AA23" i="8"/>
  <c r="AB23" i="8"/>
  <c r="AL23" i="8" s="1"/>
  <c r="AQ23" i="8" s="1"/>
  <c r="AC23" i="8"/>
  <c r="AD23" i="8"/>
  <c r="AE23" i="8"/>
  <c r="AF23" i="8"/>
  <c r="AG23" i="8"/>
  <c r="AH23" i="8"/>
  <c r="AK23" i="8"/>
  <c r="AM23" i="8"/>
  <c r="AN23" i="8"/>
  <c r="AS23" i="8"/>
  <c r="AU23" i="8"/>
  <c r="AV23" i="8"/>
  <c r="BC23" i="8"/>
  <c r="BF23" i="8"/>
  <c r="BH23" i="8"/>
  <c r="BI23" i="8"/>
  <c r="BN23" i="8"/>
  <c r="BP23" i="8"/>
  <c r="CA23" i="8"/>
  <c r="CF23" i="8"/>
  <c r="CL23" i="8"/>
  <c r="CM23" i="8"/>
  <c r="CN23" i="8"/>
  <c r="CO23" i="8"/>
  <c r="U24" i="8"/>
  <c r="V24" i="8"/>
  <c r="W24" i="8"/>
  <c r="X24" i="8"/>
  <c r="Y24" i="8"/>
  <c r="Z24" i="8"/>
  <c r="AA24" i="8"/>
  <c r="AB24" i="8"/>
  <c r="AC24" i="8"/>
  <c r="AD24" i="8"/>
  <c r="AE24" i="8"/>
  <c r="AF24" i="8"/>
  <c r="AG24" i="8"/>
  <c r="AH24" i="8"/>
  <c r="AK24" i="8"/>
  <c r="AM24" i="8"/>
  <c r="AN24" i="8"/>
  <c r="AS24" i="8"/>
  <c r="AU24" i="8"/>
  <c r="AV24" i="8"/>
  <c r="BC24" i="8"/>
  <c r="BF24" i="8"/>
  <c r="BH24" i="8"/>
  <c r="BI24" i="8"/>
  <c r="BN24" i="8"/>
  <c r="BP24" i="8"/>
  <c r="CA24" i="8"/>
  <c r="CF24" i="8"/>
  <c r="CL24" i="8"/>
  <c r="CM24" i="8"/>
  <c r="CN24" i="8"/>
  <c r="CO24" i="8"/>
  <c r="U25" i="8"/>
  <c r="V25" i="8"/>
  <c r="W25" i="8"/>
  <c r="X25" i="8"/>
  <c r="Y25" i="8"/>
  <c r="Z25" i="8"/>
  <c r="AA25" i="8"/>
  <c r="AB25" i="8"/>
  <c r="AL25" i="8" s="1"/>
  <c r="AQ25" i="8" s="1"/>
  <c r="AC25" i="8"/>
  <c r="AD25" i="8"/>
  <c r="AE25" i="8"/>
  <c r="AF25" i="8"/>
  <c r="AG25" i="8"/>
  <c r="AH25" i="8"/>
  <c r="AK25" i="8"/>
  <c r="AM25" i="8"/>
  <c r="AN25" i="8"/>
  <c r="AS25" i="8"/>
  <c r="AU25" i="8"/>
  <c r="AV25" i="8"/>
  <c r="BC25" i="8"/>
  <c r="BF25" i="8"/>
  <c r="BH25" i="8"/>
  <c r="BI25" i="8"/>
  <c r="BN25" i="8"/>
  <c r="BP25" i="8"/>
  <c r="CA25" i="8"/>
  <c r="CF25" i="8"/>
  <c r="CL25" i="8"/>
  <c r="CM25" i="8"/>
  <c r="CN25" i="8"/>
  <c r="CO25" i="8"/>
  <c r="U26" i="8"/>
  <c r="V26" i="8"/>
  <c r="W26" i="8"/>
  <c r="X26" i="8"/>
  <c r="Y26" i="8"/>
  <c r="Z26" i="8"/>
  <c r="AA26" i="8"/>
  <c r="AB26" i="8"/>
  <c r="AC26" i="8"/>
  <c r="AD26" i="8"/>
  <c r="AE26" i="8"/>
  <c r="AF26" i="8"/>
  <c r="AG26" i="8"/>
  <c r="AH26" i="8"/>
  <c r="BG26" i="8" s="1"/>
  <c r="BL26" i="8" s="1"/>
  <c r="AK26" i="8"/>
  <c r="AM26" i="8"/>
  <c r="AN26" i="8"/>
  <c r="AS26" i="8"/>
  <c r="AU26" i="8"/>
  <c r="AV26" i="8"/>
  <c r="BC26" i="8"/>
  <c r="BF26" i="8"/>
  <c r="BH26" i="8"/>
  <c r="BI26" i="8"/>
  <c r="BN26" i="8"/>
  <c r="BP26" i="8"/>
  <c r="CA26" i="8"/>
  <c r="CF26" i="8"/>
  <c r="CL26" i="8"/>
  <c r="CM26" i="8"/>
  <c r="CN26" i="8"/>
  <c r="CO26" i="8"/>
  <c r="U27" i="8"/>
  <c r="V27" i="8"/>
  <c r="W27" i="8"/>
  <c r="X27" i="8"/>
  <c r="Y27" i="8"/>
  <c r="Z27" i="8"/>
  <c r="AA27" i="8"/>
  <c r="AB27" i="8"/>
  <c r="AL27" i="8" s="1"/>
  <c r="AQ27" i="8" s="1"/>
  <c r="AC27" i="8"/>
  <c r="AD27" i="8"/>
  <c r="AE27" i="8"/>
  <c r="AF27" i="8"/>
  <c r="AG27" i="8"/>
  <c r="AH27" i="8"/>
  <c r="AK27" i="8"/>
  <c r="AM27" i="8"/>
  <c r="AN27" i="8"/>
  <c r="AS27" i="8"/>
  <c r="AU27" i="8"/>
  <c r="AV27" i="8"/>
  <c r="BC27" i="8"/>
  <c r="BF27" i="8"/>
  <c r="BH27" i="8"/>
  <c r="BI27" i="8"/>
  <c r="BN27" i="8"/>
  <c r="BP27" i="8"/>
  <c r="CA27" i="8"/>
  <c r="CF27" i="8"/>
  <c r="CL27" i="8"/>
  <c r="CM27" i="8"/>
  <c r="CN27" i="8"/>
  <c r="CO27" i="8"/>
  <c r="U28" i="8"/>
  <c r="V28" i="8"/>
  <c r="W28" i="8"/>
  <c r="X28" i="8"/>
  <c r="Y28" i="8"/>
  <c r="Z28" i="8"/>
  <c r="AA28" i="8"/>
  <c r="AB28" i="8"/>
  <c r="AC28" i="8"/>
  <c r="AD28" i="8"/>
  <c r="AE28" i="8"/>
  <c r="AF28" i="8"/>
  <c r="AG28" i="8"/>
  <c r="AH28" i="8"/>
  <c r="AK28" i="8"/>
  <c r="AM28" i="8"/>
  <c r="AN28" i="8"/>
  <c r="AS28" i="8"/>
  <c r="AU28" i="8"/>
  <c r="AV28" i="8"/>
  <c r="BC28" i="8"/>
  <c r="BF28" i="8"/>
  <c r="BH28" i="8"/>
  <c r="BI28" i="8"/>
  <c r="BN28" i="8"/>
  <c r="BP28" i="8"/>
  <c r="CA28" i="8"/>
  <c r="CF28" i="8"/>
  <c r="CL28" i="8"/>
  <c r="CM28" i="8"/>
  <c r="CN28" i="8"/>
  <c r="CO28" i="8"/>
  <c r="U29" i="8"/>
  <c r="V29" i="8"/>
  <c r="W29" i="8"/>
  <c r="X29" i="8"/>
  <c r="Y29" i="8"/>
  <c r="Z29" i="8"/>
  <c r="AA29" i="8"/>
  <c r="AB29" i="8"/>
  <c r="AL29" i="8" s="1"/>
  <c r="AQ29" i="8" s="1"/>
  <c r="AC29" i="8"/>
  <c r="AD29" i="8"/>
  <c r="AE29" i="8"/>
  <c r="AF29" i="8"/>
  <c r="AG29" i="8"/>
  <c r="AH29" i="8"/>
  <c r="BG29" i="8" s="1"/>
  <c r="BL29" i="8" s="1"/>
  <c r="AK29" i="8"/>
  <c r="AM29" i="8"/>
  <c r="AN29" i="8"/>
  <c r="AS29" i="8"/>
  <c r="AU29" i="8"/>
  <c r="AV29" i="8"/>
  <c r="BC29" i="8"/>
  <c r="BF29" i="8"/>
  <c r="BH29" i="8"/>
  <c r="BI29" i="8"/>
  <c r="BN29" i="8"/>
  <c r="BP29" i="8"/>
  <c r="CA29" i="8"/>
  <c r="CF29" i="8"/>
  <c r="CL29" i="8"/>
  <c r="CM29" i="8"/>
  <c r="CN29" i="8"/>
  <c r="CO29" i="8"/>
  <c r="U30" i="8"/>
  <c r="V30" i="8"/>
  <c r="W30" i="8"/>
  <c r="X30" i="8"/>
  <c r="Y30" i="8"/>
  <c r="Z30" i="8"/>
  <c r="AA30" i="8"/>
  <c r="AB30" i="8"/>
  <c r="AC30" i="8"/>
  <c r="AD30" i="8"/>
  <c r="AE30" i="8"/>
  <c r="AF30" i="8"/>
  <c r="AG30" i="8"/>
  <c r="AH30" i="8"/>
  <c r="BG30" i="8" s="1"/>
  <c r="BL30" i="8" s="1"/>
  <c r="AK30" i="8"/>
  <c r="AM30" i="8"/>
  <c r="AN30" i="8"/>
  <c r="AS30" i="8"/>
  <c r="AU30" i="8"/>
  <c r="AV30" i="8"/>
  <c r="BC30" i="8"/>
  <c r="BF30" i="8"/>
  <c r="BH30" i="8"/>
  <c r="BI30" i="8"/>
  <c r="BN30" i="8"/>
  <c r="BP30" i="8"/>
  <c r="CA30" i="8"/>
  <c r="CF30" i="8"/>
  <c r="CL30" i="8"/>
  <c r="CM30" i="8"/>
  <c r="CN30" i="8"/>
  <c r="CO30" i="8"/>
  <c r="U31" i="8"/>
  <c r="V31" i="8"/>
  <c r="W31" i="8"/>
  <c r="X31" i="8"/>
  <c r="Y31" i="8"/>
  <c r="Z31" i="8"/>
  <c r="AA31" i="8"/>
  <c r="AB31" i="8"/>
  <c r="AL31" i="8" s="1"/>
  <c r="AQ31" i="8" s="1"/>
  <c r="AC31" i="8"/>
  <c r="AD31" i="8"/>
  <c r="AE31" i="8"/>
  <c r="AF31" i="8"/>
  <c r="AG31" i="8"/>
  <c r="AH31" i="8"/>
  <c r="BG31" i="8" s="1"/>
  <c r="BL31" i="8" s="1"/>
  <c r="AK31" i="8"/>
  <c r="AM31" i="8"/>
  <c r="AN31" i="8"/>
  <c r="AS31" i="8"/>
  <c r="AU31" i="8"/>
  <c r="AV31" i="8"/>
  <c r="BC31" i="8"/>
  <c r="BF31" i="8"/>
  <c r="BH31" i="8"/>
  <c r="BI31" i="8"/>
  <c r="BN31" i="8"/>
  <c r="BP31" i="8"/>
  <c r="CA31" i="8"/>
  <c r="CF31" i="8"/>
  <c r="CL31" i="8"/>
  <c r="CM31" i="8"/>
  <c r="CN31" i="8"/>
  <c r="CO31" i="8"/>
  <c r="U32" i="8"/>
  <c r="V32" i="8"/>
  <c r="W32" i="8"/>
  <c r="X32" i="8"/>
  <c r="Y32" i="8"/>
  <c r="Z32" i="8"/>
  <c r="AA32" i="8"/>
  <c r="AB32" i="8"/>
  <c r="AC32" i="8"/>
  <c r="AD32" i="8"/>
  <c r="AE32" i="8"/>
  <c r="AF32" i="8"/>
  <c r="AG32" i="8"/>
  <c r="AH32" i="8"/>
  <c r="BG32" i="8" s="1"/>
  <c r="BL32" i="8" s="1"/>
  <c r="AK32" i="8"/>
  <c r="AM32" i="8"/>
  <c r="AN32" i="8"/>
  <c r="AS32" i="8"/>
  <c r="AU32" i="8"/>
  <c r="AV32" i="8"/>
  <c r="BC32" i="8"/>
  <c r="BF32" i="8"/>
  <c r="BH32" i="8"/>
  <c r="BI32" i="8"/>
  <c r="BN32" i="8"/>
  <c r="BP32" i="8"/>
  <c r="CA32" i="8"/>
  <c r="CF32" i="8"/>
  <c r="CL32" i="8"/>
  <c r="CM32" i="8"/>
  <c r="CN32" i="8"/>
  <c r="CO32" i="8"/>
  <c r="U33" i="8"/>
  <c r="V33" i="8"/>
  <c r="W33" i="8"/>
  <c r="X33" i="8"/>
  <c r="Y33" i="8"/>
  <c r="Z33" i="8"/>
  <c r="AA33" i="8"/>
  <c r="AB33" i="8"/>
  <c r="AL33" i="8" s="1"/>
  <c r="AQ33" i="8" s="1"/>
  <c r="AC33" i="8"/>
  <c r="AD33" i="8"/>
  <c r="AE33" i="8"/>
  <c r="AF33" i="8"/>
  <c r="AG33" i="8"/>
  <c r="AH33" i="8"/>
  <c r="BE33" i="8" s="1"/>
  <c r="BJ33" i="8" s="1"/>
  <c r="BK33" i="8" s="1"/>
  <c r="AK33" i="8"/>
  <c r="AM33" i="8"/>
  <c r="AN33" i="8"/>
  <c r="AS33" i="8"/>
  <c r="AU33" i="8"/>
  <c r="AV33" i="8"/>
  <c r="BC33" i="8"/>
  <c r="BF33" i="8"/>
  <c r="BH33" i="8"/>
  <c r="BI33" i="8"/>
  <c r="BN33" i="8"/>
  <c r="BP33" i="8"/>
  <c r="CA33" i="8"/>
  <c r="CF33" i="8"/>
  <c r="CL33" i="8"/>
  <c r="CM33" i="8"/>
  <c r="CN33" i="8"/>
  <c r="CO33" i="8"/>
  <c r="U34" i="8"/>
  <c r="V34" i="8"/>
  <c r="W34" i="8"/>
  <c r="X34" i="8"/>
  <c r="Y34" i="8"/>
  <c r="Z34" i="8"/>
  <c r="AA34" i="8"/>
  <c r="AB34" i="8"/>
  <c r="AT34" i="8" s="1"/>
  <c r="AW34" i="8" s="1"/>
  <c r="AX34" i="8" s="1"/>
  <c r="AC34" i="8"/>
  <c r="AD34" i="8"/>
  <c r="AE34" i="8"/>
  <c r="AF34" i="8"/>
  <c r="AG34" i="8"/>
  <c r="AH34" i="8"/>
  <c r="AK34" i="8"/>
  <c r="AM34" i="8"/>
  <c r="AN34" i="8"/>
  <c r="AS34" i="8"/>
  <c r="AU34" i="8"/>
  <c r="AV34" i="8"/>
  <c r="BC34" i="8"/>
  <c r="BF34" i="8"/>
  <c r="BH34" i="8"/>
  <c r="BI34" i="8"/>
  <c r="BN34" i="8"/>
  <c r="BP34" i="8"/>
  <c r="CA34" i="8"/>
  <c r="CF34" i="8"/>
  <c r="CL34" i="8"/>
  <c r="CM34" i="8"/>
  <c r="CN34" i="8"/>
  <c r="CO34" i="8"/>
  <c r="U35" i="8"/>
  <c r="V35" i="8"/>
  <c r="W35" i="8"/>
  <c r="X35" i="8"/>
  <c r="Y35" i="8"/>
  <c r="Z35" i="8"/>
  <c r="AA35" i="8"/>
  <c r="AB35" i="8"/>
  <c r="AJ35" i="8" s="1"/>
  <c r="AO35" i="8" s="1"/>
  <c r="AP35" i="8" s="1"/>
  <c r="AC35" i="8"/>
  <c r="AD35" i="8"/>
  <c r="AE35" i="8"/>
  <c r="AF35" i="8"/>
  <c r="AG35" i="8"/>
  <c r="AH35" i="8"/>
  <c r="BG35" i="8" s="1"/>
  <c r="BL35" i="8" s="1"/>
  <c r="AK35" i="8"/>
  <c r="AM35" i="8"/>
  <c r="AN35" i="8"/>
  <c r="AS35" i="8"/>
  <c r="AU35" i="8"/>
  <c r="AV35" i="8"/>
  <c r="BC35" i="8"/>
  <c r="BF35" i="8"/>
  <c r="BH35" i="8"/>
  <c r="BI35" i="8"/>
  <c r="BN35" i="8"/>
  <c r="BP35" i="8"/>
  <c r="CA35" i="8"/>
  <c r="CF35" i="8"/>
  <c r="CL35" i="8"/>
  <c r="CM35" i="8"/>
  <c r="CN35" i="8"/>
  <c r="CO35" i="8"/>
  <c r="U36" i="8"/>
  <c r="V36" i="8"/>
  <c r="W36" i="8"/>
  <c r="X36" i="8"/>
  <c r="Y36" i="8"/>
  <c r="Z36" i="8"/>
  <c r="AA36" i="8"/>
  <c r="AB36" i="8"/>
  <c r="AJ36" i="8" s="1"/>
  <c r="AO36" i="8" s="1"/>
  <c r="AP36" i="8" s="1"/>
  <c r="AC36" i="8"/>
  <c r="AD36" i="8"/>
  <c r="AE36" i="8"/>
  <c r="AF36" i="8"/>
  <c r="AG36" i="8"/>
  <c r="AH36" i="8"/>
  <c r="BG36" i="8" s="1"/>
  <c r="BL36" i="8" s="1"/>
  <c r="AK36" i="8"/>
  <c r="AM36" i="8"/>
  <c r="AN36" i="8"/>
  <c r="AS36" i="8"/>
  <c r="AU36" i="8"/>
  <c r="AV36" i="8"/>
  <c r="BC36" i="8"/>
  <c r="BF36" i="8"/>
  <c r="BH36" i="8"/>
  <c r="BI36" i="8"/>
  <c r="BN36" i="8"/>
  <c r="BP36" i="8"/>
  <c r="CA36" i="8"/>
  <c r="CF36" i="8"/>
  <c r="CL36" i="8"/>
  <c r="CM36" i="8"/>
  <c r="CN36" i="8"/>
  <c r="CO36" i="8"/>
  <c r="U37" i="8"/>
  <c r="V37" i="8"/>
  <c r="W37" i="8"/>
  <c r="X37" i="8"/>
  <c r="Y37" i="8"/>
  <c r="Z37" i="8"/>
  <c r="AA37" i="8"/>
  <c r="AB37" i="8"/>
  <c r="AJ37" i="8" s="1"/>
  <c r="AO37" i="8" s="1"/>
  <c r="AP37" i="8" s="1"/>
  <c r="AC37" i="8"/>
  <c r="AD37" i="8"/>
  <c r="AE37" i="8"/>
  <c r="AF37" i="8"/>
  <c r="AG37" i="8"/>
  <c r="AH37" i="8"/>
  <c r="AK37" i="8"/>
  <c r="AM37" i="8"/>
  <c r="AN37" i="8"/>
  <c r="AS37" i="8"/>
  <c r="AU37" i="8"/>
  <c r="AV37" i="8"/>
  <c r="BC37" i="8"/>
  <c r="BF37" i="8"/>
  <c r="BH37" i="8"/>
  <c r="BI37" i="8"/>
  <c r="BN37" i="8"/>
  <c r="BP37" i="8"/>
  <c r="CA37" i="8"/>
  <c r="CF37" i="8"/>
  <c r="CL37" i="8"/>
  <c r="CM37" i="8"/>
  <c r="CN37" i="8"/>
  <c r="CO37" i="8"/>
  <c r="BE30" i="8" l="1"/>
  <c r="BJ30" i="8" s="1"/>
  <c r="BK30" i="8" s="1"/>
  <c r="P11" i="27"/>
  <c r="BE31" i="8"/>
  <c r="BJ31" i="8" s="1"/>
  <c r="BK31" i="8" s="1"/>
  <c r="BU31" i="8" s="1"/>
  <c r="CI30" i="8"/>
  <c r="AY34" i="8"/>
  <c r="AB18" i="8"/>
  <c r="AL18" i="8" s="1"/>
  <c r="AQ18" i="8" s="1"/>
  <c r="AH17" i="8"/>
  <c r="BG17" i="8" s="1"/>
  <c r="AB14" i="8"/>
  <c r="AJ14" i="8" s="1"/>
  <c r="AO14" i="8" s="1"/>
  <c r="AP14" i="8" s="1"/>
  <c r="BY14" i="8" s="1"/>
  <c r="AB19" i="8"/>
  <c r="AJ19" i="8" s="1"/>
  <c r="AO19" i="8" s="1"/>
  <c r="AP19" i="8" s="1"/>
  <c r="BW19" i="8" s="1"/>
  <c r="AH15" i="8"/>
  <c r="BE15" i="8" s="1"/>
  <c r="BJ15" i="8" s="1"/>
  <c r="BK15" i="8" s="1"/>
  <c r="AH14" i="8"/>
  <c r="BE14" i="8" s="1"/>
  <c r="BJ14" i="8" s="1"/>
  <c r="BK14" i="8" s="1"/>
  <c r="BZ14" i="8" s="1"/>
  <c r="CI22" i="8"/>
  <c r="CI31" i="8"/>
  <c r="BO31" i="8"/>
  <c r="BQ31" i="8" s="1"/>
  <c r="BR31" i="8" s="1"/>
  <c r="BS31" i="8" s="1"/>
  <c r="BE32" i="8"/>
  <c r="BJ32" i="8" s="1"/>
  <c r="BK32" i="8" s="1"/>
  <c r="BZ32" i="8" s="1"/>
  <c r="CI23" i="8"/>
  <c r="CI20" i="8"/>
  <c r="CI24" i="8"/>
  <c r="CI34" i="8"/>
  <c r="AL35" i="8"/>
  <c r="AQ35" i="8" s="1"/>
  <c r="CI28" i="8"/>
  <c r="CI26" i="8"/>
  <c r="AT35" i="8"/>
  <c r="AW35" i="8" s="1"/>
  <c r="AX35" i="8" s="1"/>
  <c r="AY35" i="8" s="1"/>
  <c r="BO29" i="8"/>
  <c r="BQ29" i="8" s="1"/>
  <c r="BR29" i="8" s="1"/>
  <c r="BS29" i="8" s="1"/>
  <c r="AT36" i="8"/>
  <c r="AW36" i="8" s="1"/>
  <c r="AX36" i="8" s="1"/>
  <c r="AY36" i="8" s="1"/>
  <c r="BG24" i="8"/>
  <c r="BL24" i="8" s="1"/>
  <c r="BO24" i="8"/>
  <c r="BQ24" i="8" s="1"/>
  <c r="BR24" i="8" s="1"/>
  <c r="BS24" i="8" s="1"/>
  <c r="BG28" i="8"/>
  <c r="BL28" i="8" s="1"/>
  <c r="BO28" i="8"/>
  <c r="BQ28" i="8" s="1"/>
  <c r="BR28" i="8" s="1"/>
  <c r="BS28" i="8" s="1"/>
  <c r="CI32" i="8"/>
  <c r="CI37" i="8"/>
  <c r="CI33" i="8"/>
  <c r="BX33" i="8"/>
  <c r="BT33" i="8"/>
  <c r="BZ33" i="8"/>
  <c r="CI27" i="8"/>
  <c r="AT37" i="8"/>
  <c r="AW37" i="8" s="1"/>
  <c r="AX37" i="8" s="1"/>
  <c r="AY37" i="8" s="1"/>
  <c r="CI36" i="8"/>
  <c r="AL34" i="8"/>
  <c r="AQ34" i="8" s="1"/>
  <c r="BO22" i="8"/>
  <c r="BQ22" i="8" s="1"/>
  <c r="BR22" i="8" s="1"/>
  <c r="BS22" i="8" s="1"/>
  <c r="BO33" i="8"/>
  <c r="BQ33" i="8" s="1"/>
  <c r="BR33" i="8" s="1"/>
  <c r="BS33" i="8" s="1"/>
  <c r="BG33" i="8"/>
  <c r="BL33" i="8" s="1"/>
  <c r="AJ34" i="8"/>
  <c r="AO34" i="8" s="1"/>
  <c r="AP34" i="8" s="1"/>
  <c r="AZ34" i="8" s="1"/>
  <c r="BO32" i="8"/>
  <c r="BQ32" i="8" s="1"/>
  <c r="BR32" i="8" s="1"/>
  <c r="BS32" i="8" s="1"/>
  <c r="BO30" i="8"/>
  <c r="BQ30" i="8" s="1"/>
  <c r="BR30" i="8" s="1"/>
  <c r="BS30" i="8" s="1"/>
  <c r="CI29" i="8"/>
  <c r="BO26" i="8"/>
  <c r="BQ26" i="8" s="1"/>
  <c r="BR26" i="8" s="1"/>
  <c r="BS26" i="8" s="1"/>
  <c r="AL37" i="8"/>
  <c r="AQ37" i="8" s="1"/>
  <c r="CI21" i="8"/>
  <c r="CI25" i="8"/>
  <c r="CI35" i="8"/>
  <c r="BO20" i="8"/>
  <c r="BQ20" i="8" s="1"/>
  <c r="BR20" i="8" s="1"/>
  <c r="BS20" i="8" s="1"/>
  <c r="BW36" i="8"/>
  <c r="AZ36" i="8"/>
  <c r="BA36" i="8"/>
  <c r="BB36" i="8"/>
  <c r="BY36" i="8"/>
  <c r="BU30" i="8"/>
  <c r="BZ30" i="8"/>
  <c r="BV30" i="8"/>
  <c r="BX30" i="8"/>
  <c r="BT30" i="8"/>
  <c r="BW35" i="8"/>
  <c r="BA35" i="8"/>
  <c r="BB35" i="8"/>
  <c r="BY35" i="8"/>
  <c r="AZ35" i="8"/>
  <c r="BW37" i="8"/>
  <c r="AZ37" i="8"/>
  <c r="BY37" i="8"/>
  <c r="BA37" i="8"/>
  <c r="BB37" i="8"/>
  <c r="BE34" i="8"/>
  <c r="BJ34" i="8" s="1"/>
  <c r="BK34" i="8" s="1"/>
  <c r="BO34" i="8"/>
  <c r="BQ34" i="8" s="1"/>
  <c r="BR34" i="8" s="1"/>
  <c r="BS34" i="8" s="1"/>
  <c r="AB17" i="8"/>
  <c r="AB15" i="8"/>
  <c r="AL36" i="8"/>
  <c r="AQ36" i="8" s="1"/>
  <c r="BU33" i="8"/>
  <c r="BV33" i="8"/>
  <c r="AH19" i="8"/>
  <c r="BE18" i="8"/>
  <c r="BJ18" i="8" s="1"/>
  <c r="BK18" i="8" s="1"/>
  <c r="BX18" i="8" s="1"/>
  <c r="AL32" i="8"/>
  <c r="AQ32" i="8" s="1"/>
  <c r="AJ32" i="8"/>
  <c r="AO32" i="8" s="1"/>
  <c r="AP32" i="8" s="1"/>
  <c r="AT32" i="8"/>
  <c r="AW32" i="8" s="1"/>
  <c r="AX32" i="8" s="1"/>
  <c r="AY32" i="8" s="1"/>
  <c r="BG34" i="8"/>
  <c r="BL34" i="8" s="1"/>
  <c r="BO18" i="8"/>
  <c r="BQ18" i="8" s="1"/>
  <c r="BR18" i="8" s="1"/>
  <c r="BS18" i="8" s="1"/>
  <c r="BL17" i="8"/>
  <c r="AL30" i="8"/>
  <c r="AQ30" i="8" s="1"/>
  <c r="AJ30" i="8"/>
  <c r="AO30" i="8" s="1"/>
  <c r="AP30" i="8" s="1"/>
  <c r="AT30" i="8"/>
  <c r="AW30" i="8" s="1"/>
  <c r="AX30" i="8" s="1"/>
  <c r="AY30" i="8" s="1"/>
  <c r="BE27" i="8"/>
  <c r="BJ27" i="8" s="1"/>
  <c r="BK27" i="8" s="1"/>
  <c r="BO27" i="8"/>
  <c r="BQ27" i="8" s="1"/>
  <c r="BR27" i="8" s="1"/>
  <c r="BS27" i="8" s="1"/>
  <c r="BG27" i="8"/>
  <c r="BL27" i="8" s="1"/>
  <c r="BE25" i="8"/>
  <c r="BJ25" i="8" s="1"/>
  <c r="BK25" i="8" s="1"/>
  <c r="BO25" i="8"/>
  <c r="BQ25" i="8" s="1"/>
  <c r="BR25" i="8" s="1"/>
  <c r="BS25" i="8" s="1"/>
  <c r="BG25" i="8"/>
  <c r="BL25" i="8" s="1"/>
  <c r="BE23" i="8"/>
  <c r="BJ23" i="8" s="1"/>
  <c r="BK23" i="8" s="1"/>
  <c r="BO23" i="8"/>
  <c r="BQ23" i="8" s="1"/>
  <c r="BR23" i="8" s="1"/>
  <c r="BS23" i="8" s="1"/>
  <c r="BG23" i="8"/>
  <c r="BL23" i="8" s="1"/>
  <c r="BE21" i="8"/>
  <c r="BJ21" i="8" s="1"/>
  <c r="BK21" i="8" s="1"/>
  <c r="BO21" i="8"/>
  <c r="BQ21" i="8" s="1"/>
  <c r="BR21" i="8" s="1"/>
  <c r="BS21" i="8" s="1"/>
  <c r="BG21" i="8"/>
  <c r="BL21" i="8" s="1"/>
  <c r="BE37" i="8"/>
  <c r="BJ37" i="8" s="1"/>
  <c r="BK37" i="8" s="1"/>
  <c r="BO37" i="8"/>
  <c r="BQ37" i="8" s="1"/>
  <c r="BR37" i="8" s="1"/>
  <c r="BS37" i="8" s="1"/>
  <c r="BE36" i="8"/>
  <c r="BJ36" i="8" s="1"/>
  <c r="BK36" i="8" s="1"/>
  <c r="BO36" i="8"/>
  <c r="BQ36" i="8" s="1"/>
  <c r="BR36" i="8" s="1"/>
  <c r="BS36" i="8" s="1"/>
  <c r="BG37" i="8"/>
  <c r="BL37" i="8" s="1"/>
  <c r="BE35" i="8"/>
  <c r="BJ35" i="8" s="1"/>
  <c r="BK35" i="8" s="1"/>
  <c r="BO35" i="8"/>
  <c r="BQ35" i="8" s="1"/>
  <c r="BR35" i="8" s="1"/>
  <c r="BS35" i="8" s="1"/>
  <c r="BE29" i="8"/>
  <c r="BJ29" i="8" s="1"/>
  <c r="BK29" i="8" s="1"/>
  <c r="BE28" i="8"/>
  <c r="BJ28" i="8" s="1"/>
  <c r="BK28" i="8" s="1"/>
  <c r="AL28" i="8"/>
  <c r="AQ28" i="8" s="1"/>
  <c r="AJ28" i="8"/>
  <c r="AO28" i="8" s="1"/>
  <c r="AP28" i="8" s="1"/>
  <c r="AT28" i="8"/>
  <c r="AW28" i="8" s="1"/>
  <c r="AX28" i="8" s="1"/>
  <c r="AY28" i="8" s="1"/>
  <c r="BE26" i="8"/>
  <c r="BJ26" i="8" s="1"/>
  <c r="BK26" i="8" s="1"/>
  <c r="AL26" i="8"/>
  <c r="AQ26" i="8" s="1"/>
  <c r="AJ26" i="8"/>
  <c r="AO26" i="8" s="1"/>
  <c r="AP26" i="8" s="1"/>
  <c r="AT26" i="8"/>
  <c r="AW26" i="8" s="1"/>
  <c r="AX26" i="8" s="1"/>
  <c r="AY26" i="8" s="1"/>
  <c r="BE24" i="8"/>
  <c r="BJ24" i="8" s="1"/>
  <c r="BK24" i="8" s="1"/>
  <c r="AL24" i="8"/>
  <c r="AQ24" i="8" s="1"/>
  <c r="AJ24" i="8"/>
  <c r="AO24" i="8" s="1"/>
  <c r="AP24" i="8" s="1"/>
  <c r="AT24" i="8"/>
  <c r="AW24" i="8" s="1"/>
  <c r="AX24" i="8" s="1"/>
  <c r="AY24" i="8" s="1"/>
  <c r="BE22" i="8"/>
  <c r="BJ22" i="8" s="1"/>
  <c r="BK22" i="8" s="1"/>
  <c r="AL22" i="8"/>
  <c r="AQ22" i="8" s="1"/>
  <c r="AJ22" i="8"/>
  <c r="AO22" i="8" s="1"/>
  <c r="AP22" i="8" s="1"/>
  <c r="AT22" i="8"/>
  <c r="AW22" i="8" s="1"/>
  <c r="AX22" i="8" s="1"/>
  <c r="AY22" i="8" s="1"/>
  <c r="BE20" i="8"/>
  <c r="BJ20" i="8" s="1"/>
  <c r="BK20" i="8" s="1"/>
  <c r="AL20" i="8"/>
  <c r="AQ20" i="8" s="1"/>
  <c r="AJ20" i="8"/>
  <c r="AO20" i="8" s="1"/>
  <c r="AP20" i="8" s="1"/>
  <c r="AT20" i="8"/>
  <c r="AW20" i="8" s="1"/>
  <c r="AX20" i="8" s="1"/>
  <c r="AY20" i="8" s="1"/>
  <c r="AF16" i="8"/>
  <c r="AH16" i="8" s="1"/>
  <c r="Z16" i="8"/>
  <c r="AB16" i="8" s="1"/>
  <c r="AT33" i="8"/>
  <c r="AW33" i="8" s="1"/>
  <c r="AX33" i="8" s="1"/>
  <c r="AY33" i="8" s="1"/>
  <c r="AJ33" i="8"/>
  <c r="AO33" i="8" s="1"/>
  <c r="AP33" i="8" s="1"/>
  <c r="AT31" i="8"/>
  <c r="AW31" i="8" s="1"/>
  <c r="AX31" i="8" s="1"/>
  <c r="AY31" i="8" s="1"/>
  <c r="AJ31" i="8"/>
  <c r="AO31" i="8" s="1"/>
  <c r="AP31" i="8" s="1"/>
  <c r="AT29" i="8"/>
  <c r="AW29" i="8" s="1"/>
  <c r="AX29" i="8" s="1"/>
  <c r="AY29" i="8" s="1"/>
  <c r="AJ29" i="8"/>
  <c r="AO29" i="8" s="1"/>
  <c r="AP29" i="8" s="1"/>
  <c r="AT27" i="8"/>
  <c r="AW27" i="8" s="1"/>
  <c r="AX27" i="8" s="1"/>
  <c r="AY27" i="8" s="1"/>
  <c r="AJ27" i="8"/>
  <c r="AO27" i="8" s="1"/>
  <c r="AP27" i="8" s="1"/>
  <c r="AT25" i="8"/>
  <c r="AW25" i="8" s="1"/>
  <c r="AX25" i="8" s="1"/>
  <c r="AY25" i="8" s="1"/>
  <c r="AJ25" i="8"/>
  <c r="AO25" i="8" s="1"/>
  <c r="AP25" i="8" s="1"/>
  <c r="AT23" i="8"/>
  <c r="AW23" i="8" s="1"/>
  <c r="AX23" i="8" s="1"/>
  <c r="AY23" i="8" s="1"/>
  <c r="AJ23" i="8"/>
  <c r="AO23" i="8" s="1"/>
  <c r="AP23" i="8" s="1"/>
  <c r="AT21" i="8"/>
  <c r="AW21" i="8" s="1"/>
  <c r="AX21" i="8" s="1"/>
  <c r="AY21" i="8" s="1"/>
  <c r="AJ21" i="8"/>
  <c r="AO21" i="8" s="1"/>
  <c r="AP21" i="8" s="1"/>
  <c r="B17" i="8"/>
  <c r="B18" i="8"/>
  <c r="B19" i="8"/>
  <c r="B20" i="8"/>
  <c r="B21" i="8"/>
  <c r="B22" i="8"/>
  <c r="B23" i="8"/>
  <c r="B24" i="8"/>
  <c r="B25" i="8"/>
  <c r="B26" i="8"/>
  <c r="B27" i="8"/>
  <c r="B28" i="8"/>
  <c r="B29" i="8"/>
  <c r="B30" i="8"/>
  <c r="B31" i="8"/>
  <c r="B32" i="8"/>
  <c r="B33" i="8"/>
  <c r="B34" i="8"/>
  <c r="B35" i="8"/>
  <c r="B36" i="8"/>
  <c r="B37" i="8"/>
  <c r="BE17" i="8" l="1"/>
  <c r="BJ17" i="8" s="1"/>
  <c r="BK17" i="8" s="1"/>
  <c r="BO17" i="8"/>
  <c r="BQ17" i="8" s="1"/>
  <c r="BR17" i="8" s="1"/>
  <c r="BS17" i="8" s="1"/>
  <c r="BT31" i="8"/>
  <c r="BZ31" i="8"/>
  <c r="BV31" i="8"/>
  <c r="BX31" i="8"/>
  <c r="AT14" i="8"/>
  <c r="AW14" i="8" s="1"/>
  <c r="AX14" i="8" s="1"/>
  <c r="AY14" i="8" s="1"/>
  <c r="BA14" i="8" s="1"/>
  <c r="P10" i="27"/>
  <c r="AJ18" i="8"/>
  <c r="AO18" i="8" s="1"/>
  <c r="AP18" i="8" s="1"/>
  <c r="BA18" i="8" s="1"/>
  <c r="AL19" i="8"/>
  <c r="AQ19" i="8" s="1"/>
  <c r="CC31" i="8"/>
  <c r="BW14" i="8"/>
  <c r="AL14" i="8"/>
  <c r="AQ14" i="8" s="1"/>
  <c r="AT18" i="8"/>
  <c r="AW18" i="8" s="1"/>
  <c r="AX18" i="8" s="1"/>
  <c r="AY18" i="8" s="1"/>
  <c r="BC18" i="8" s="1"/>
  <c r="CC29" i="8"/>
  <c r="AT19" i="8"/>
  <c r="AW19" i="8" s="1"/>
  <c r="AX19" i="8" s="1"/>
  <c r="AY19" i="8" s="1"/>
  <c r="AZ19" i="8" s="1"/>
  <c r="BT14" i="8"/>
  <c r="BO14" i="8"/>
  <c r="BQ14" i="8" s="1"/>
  <c r="BR14" i="8" s="1"/>
  <c r="BS14" i="8" s="1"/>
  <c r="BG15" i="8"/>
  <c r="BL15" i="8" s="1"/>
  <c r="BU17" i="8"/>
  <c r="BG14" i="8"/>
  <c r="BL14" i="8" s="1"/>
  <c r="BX14" i="8"/>
  <c r="BO15" i="8"/>
  <c r="BQ15" i="8" s="1"/>
  <c r="BR15" i="8" s="1"/>
  <c r="BS15" i="8" s="1"/>
  <c r="CA15" i="8" s="1"/>
  <c r="BA34" i="8"/>
  <c r="BB34" i="8"/>
  <c r="BU32" i="8"/>
  <c r="BT32" i="8"/>
  <c r="BV32" i="8"/>
  <c r="BX32" i="8"/>
  <c r="BT17" i="8"/>
  <c r="CC33" i="8"/>
  <c r="CC35" i="8"/>
  <c r="CC28" i="8"/>
  <c r="BZ18" i="8"/>
  <c r="CC20" i="8"/>
  <c r="CC24" i="8"/>
  <c r="CC36" i="8"/>
  <c r="CC37" i="8"/>
  <c r="BW34" i="8"/>
  <c r="BY34" i="8"/>
  <c r="BT18" i="8"/>
  <c r="CC27" i="8"/>
  <c r="CC34" i="8"/>
  <c r="CC25" i="8"/>
  <c r="BZ15" i="8"/>
  <c r="BX15" i="8"/>
  <c r="BX17" i="8"/>
  <c r="BZ17" i="8"/>
  <c r="BT15" i="8"/>
  <c r="BY19" i="8"/>
  <c r="AZ22" i="8"/>
  <c r="BB22" i="8"/>
  <c r="BW22" i="8"/>
  <c r="BY22" i="8"/>
  <c r="BA22" i="8"/>
  <c r="BU25" i="8"/>
  <c r="BV25" i="8"/>
  <c r="BX25" i="8"/>
  <c r="BZ25" i="8"/>
  <c r="BT25" i="8"/>
  <c r="BU18" i="8"/>
  <c r="BV35" i="8"/>
  <c r="BU35" i="8"/>
  <c r="CE35" i="8" s="1"/>
  <c r="BX35" i="8"/>
  <c r="BZ35" i="8"/>
  <c r="BT35" i="8"/>
  <c r="CD35" i="8" s="1"/>
  <c r="BC19" i="8"/>
  <c r="AL15" i="8"/>
  <c r="AQ15" i="8" s="1"/>
  <c r="AT15" i="8"/>
  <c r="AW15" i="8" s="1"/>
  <c r="AX15" i="8" s="1"/>
  <c r="AY15" i="8" s="1"/>
  <c r="AJ15" i="8"/>
  <c r="AO15" i="8" s="1"/>
  <c r="AP15" i="8" s="1"/>
  <c r="BB27" i="8"/>
  <c r="BW27" i="8"/>
  <c r="BY27" i="8"/>
  <c r="AZ27" i="8"/>
  <c r="BA27" i="8"/>
  <c r="BU22" i="8"/>
  <c r="BZ22" i="8"/>
  <c r="BV22" i="8"/>
  <c r="BT22" i="8"/>
  <c r="BX22" i="8"/>
  <c r="BU26" i="8"/>
  <c r="BZ26" i="8"/>
  <c r="BV26" i="8"/>
  <c r="BT26" i="8"/>
  <c r="BX26" i="8"/>
  <c r="BU21" i="8"/>
  <c r="BV21" i="8"/>
  <c r="BX21" i="8"/>
  <c r="BZ21" i="8"/>
  <c r="BT21" i="8"/>
  <c r="BE19" i="8"/>
  <c r="BJ19" i="8" s="1"/>
  <c r="BK19" i="8" s="1"/>
  <c r="BO19" i="8"/>
  <c r="BQ19" i="8" s="1"/>
  <c r="BR19" i="8" s="1"/>
  <c r="BS19" i="8" s="1"/>
  <c r="BG19" i="8"/>
  <c r="BL19" i="8" s="1"/>
  <c r="AL17" i="8"/>
  <c r="AQ17" i="8" s="1"/>
  <c r="AT17" i="8"/>
  <c r="AW17" i="8" s="1"/>
  <c r="AX17" i="8" s="1"/>
  <c r="AY17" i="8" s="1"/>
  <c r="AJ17" i="8"/>
  <c r="AO17" i="8" s="1"/>
  <c r="AP17" i="8" s="1"/>
  <c r="AZ20" i="8"/>
  <c r="BB20" i="8"/>
  <c r="BW20" i="8"/>
  <c r="BY20" i="8"/>
  <c r="BA20" i="8"/>
  <c r="CC21" i="8"/>
  <c r="BE16" i="8"/>
  <c r="BJ16" i="8" s="1"/>
  <c r="BK16" i="8" s="1"/>
  <c r="BO16" i="8"/>
  <c r="BQ16" i="8" s="1"/>
  <c r="BR16" i="8" s="1"/>
  <c r="BS16" i="8" s="1"/>
  <c r="BG16" i="8"/>
  <c r="BL16" i="8" s="1"/>
  <c r="BU23" i="8"/>
  <c r="BV23" i="8"/>
  <c r="BX23" i="8"/>
  <c r="BZ23" i="8"/>
  <c r="BT23" i="8"/>
  <c r="BV17" i="8"/>
  <c r="CA17" i="8"/>
  <c r="BV34" i="8"/>
  <c r="BX34" i="8"/>
  <c r="BZ34" i="8"/>
  <c r="BU34" i="8"/>
  <c r="BT34" i="8"/>
  <c r="CD34" i="8" s="1"/>
  <c r="BB25" i="8"/>
  <c r="BW25" i="8"/>
  <c r="BY25" i="8"/>
  <c r="AZ25" i="8"/>
  <c r="BA25" i="8"/>
  <c r="AZ26" i="8"/>
  <c r="BB26" i="8"/>
  <c r="BW26" i="8"/>
  <c r="BY26" i="8"/>
  <c r="BA26" i="8"/>
  <c r="BU27" i="8"/>
  <c r="BV27" i="8"/>
  <c r="BX27" i="8"/>
  <c r="BZ27" i="8"/>
  <c r="BT27" i="8"/>
  <c r="BB21" i="8"/>
  <c r="BW21" i="8"/>
  <c r="BY21" i="8"/>
  <c r="AZ21" i="8"/>
  <c r="BA21" i="8"/>
  <c r="AL16" i="8"/>
  <c r="AQ16" i="8" s="1"/>
  <c r="AJ16" i="8"/>
  <c r="AO16" i="8" s="1"/>
  <c r="AP16" i="8" s="1"/>
  <c r="AT16" i="8"/>
  <c r="AW16" i="8" s="1"/>
  <c r="AX16" i="8" s="1"/>
  <c r="AY16" i="8" s="1"/>
  <c r="AZ28" i="8"/>
  <c r="BB28" i="8"/>
  <c r="BY28" i="8"/>
  <c r="BA28" i="8"/>
  <c r="BW28" i="8"/>
  <c r="BB23" i="8"/>
  <c r="BW23" i="8"/>
  <c r="BY23" i="8"/>
  <c r="AZ23" i="8"/>
  <c r="BA23" i="8"/>
  <c r="BB31" i="8"/>
  <c r="BW31" i="8"/>
  <c r="BY31" i="8"/>
  <c r="AZ31" i="8"/>
  <c r="BA31" i="8"/>
  <c r="CE31" i="8" s="1"/>
  <c r="BU20" i="8"/>
  <c r="BZ20" i="8"/>
  <c r="BV20" i="8"/>
  <c r="BT20" i="8"/>
  <c r="BX20" i="8"/>
  <c r="BU24" i="8"/>
  <c r="BZ24" i="8"/>
  <c r="BV24" i="8"/>
  <c r="BT24" i="8"/>
  <c r="BX24" i="8"/>
  <c r="BU28" i="8"/>
  <c r="BZ28" i="8"/>
  <c r="BV28" i="8"/>
  <c r="BX28" i="8"/>
  <c r="BT28" i="8"/>
  <c r="CC30" i="8"/>
  <c r="CC32" i="8"/>
  <c r="BB33" i="8"/>
  <c r="BW33" i="8"/>
  <c r="BA33" i="8"/>
  <c r="CE33" i="8" s="1"/>
  <c r="BY33" i="8"/>
  <c r="AZ33" i="8"/>
  <c r="CD33" i="8" s="1"/>
  <c r="CA18" i="8"/>
  <c r="BV18" i="8"/>
  <c r="BB29" i="8"/>
  <c r="BW29" i="8"/>
  <c r="BY29" i="8"/>
  <c r="AZ29" i="8"/>
  <c r="BA29" i="8"/>
  <c r="AZ24" i="8"/>
  <c r="BB24" i="8"/>
  <c r="BW24" i="8"/>
  <c r="BY24" i="8"/>
  <c r="BA24" i="8"/>
  <c r="BV36" i="8"/>
  <c r="BU36" i="8"/>
  <c r="CE36" i="8" s="1"/>
  <c r="BT36" i="8"/>
  <c r="CD36" i="8" s="1"/>
  <c r="BX36" i="8"/>
  <c r="BZ36" i="8"/>
  <c r="CC23" i="8"/>
  <c r="CC22" i="8"/>
  <c r="CC26" i="8"/>
  <c r="BU29" i="8"/>
  <c r="BV29" i="8"/>
  <c r="BZ29" i="8"/>
  <c r="BT29" i="8"/>
  <c r="BX29" i="8"/>
  <c r="BV37" i="8"/>
  <c r="BU37" i="8"/>
  <c r="CE37" i="8" s="1"/>
  <c r="BZ37" i="8"/>
  <c r="BT37" i="8"/>
  <c r="CD37" i="8" s="1"/>
  <c r="BX37" i="8"/>
  <c r="BB30" i="8"/>
  <c r="BW30" i="8"/>
  <c r="AZ30" i="8"/>
  <c r="CD30" i="8" s="1"/>
  <c r="BY30" i="8"/>
  <c r="BA30" i="8"/>
  <c r="CE30" i="8" s="1"/>
  <c r="BB32" i="8"/>
  <c r="BY32" i="8"/>
  <c r="BA32" i="8"/>
  <c r="AZ32" i="8"/>
  <c r="BW32" i="8"/>
  <c r="CE32" i="8" l="1"/>
  <c r="BY18" i="8"/>
  <c r="AZ14" i="8"/>
  <c r="CD14" i="8" s="1"/>
  <c r="BC14" i="8"/>
  <c r="BB14" i="8"/>
  <c r="CD31" i="8"/>
  <c r="BB18" i="8"/>
  <c r="CM18" i="8" s="1"/>
  <c r="BW18" i="8"/>
  <c r="P9" i="27"/>
  <c r="BB19" i="8"/>
  <c r="BA19" i="8"/>
  <c r="CE18" i="8"/>
  <c r="AZ18" i="8"/>
  <c r="CD18" i="8" s="1"/>
  <c r="CC18" i="8"/>
  <c r="BU15" i="8"/>
  <c r="CF18" i="8"/>
  <c r="CC14" i="8"/>
  <c r="CE34" i="8"/>
  <c r="CI18" i="8"/>
  <c r="BV15" i="8"/>
  <c r="CA14" i="8"/>
  <c r="BV14" i="8"/>
  <c r="CO14" i="8" s="1"/>
  <c r="BU14" i="8"/>
  <c r="CE14" i="8" s="1"/>
  <c r="CD32" i="8"/>
  <c r="CD21" i="8"/>
  <c r="CD27" i="8"/>
  <c r="CC19" i="8"/>
  <c r="CD28" i="8"/>
  <c r="CE23" i="8"/>
  <c r="CE22" i="8"/>
  <c r="CE25" i="8"/>
  <c r="CD26" i="8"/>
  <c r="CD25" i="8"/>
  <c r="CE28" i="8"/>
  <c r="CE24" i="8"/>
  <c r="CD23" i="8"/>
  <c r="BW15" i="8"/>
  <c r="BY15" i="8"/>
  <c r="BW17" i="8"/>
  <c r="BY17" i="8"/>
  <c r="BZ16" i="8"/>
  <c r="BX16" i="8"/>
  <c r="BX19" i="8"/>
  <c r="BZ19" i="8"/>
  <c r="BW16" i="8"/>
  <c r="BY16" i="8"/>
  <c r="CE20" i="8"/>
  <c r="CE26" i="8"/>
  <c r="BC17" i="8"/>
  <c r="CI17" i="8" s="1"/>
  <c r="CC17" i="8"/>
  <c r="AZ17" i="8"/>
  <c r="CD17" i="8" s="1"/>
  <c r="BA17" i="8"/>
  <c r="CE17" i="8" s="1"/>
  <c r="BB17" i="8"/>
  <c r="BC16" i="8"/>
  <c r="AZ16" i="8"/>
  <c r="BA16" i="8"/>
  <c r="BB16" i="8"/>
  <c r="CC16" i="8"/>
  <c r="CD20" i="8"/>
  <c r="CD24" i="8"/>
  <c r="CA16" i="8"/>
  <c r="BV16" i="8"/>
  <c r="BU16" i="8"/>
  <c r="BT16" i="8"/>
  <c r="BV19" i="8"/>
  <c r="CF19" i="8" s="1"/>
  <c r="CA19" i="8"/>
  <c r="CI19" i="8" s="1"/>
  <c r="BT19" i="8"/>
  <c r="CD19" i="8" s="1"/>
  <c r="BU19" i="8"/>
  <c r="CE29" i="8"/>
  <c r="BC15" i="8"/>
  <c r="CI15" i="8" s="1"/>
  <c r="AZ15" i="8"/>
  <c r="CD15" i="8" s="1"/>
  <c r="BA15" i="8"/>
  <c r="BB15" i="8"/>
  <c r="CC15" i="8"/>
  <c r="CD29" i="8"/>
  <c r="CE21" i="8"/>
  <c r="CE27" i="8"/>
  <c r="CD22" i="8"/>
  <c r="CF14" i="8" l="1"/>
  <c r="CI14" i="8"/>
  <c r="CM14" i="8"/>
  <c r="CF15" i="8"/>
  <c r="CM15" i="8"/>
  <c r="P8" i="27"/>
  <c r="CE19" i="8"/>
  <c r="CE15" i="8"/>
  <c r="CI16" i="8"/>
  <c r="CE16" i="8"/>
  <c r="CF16" i="8"/>
  <c r="CD16" i="8"/>
  <c r="CF17" i="8"/>
  <c r="CM17" i="8"/>
  <c r="A6" i="20"/>
  <c r="A5" i="20"/>
  <c r="P7" i="27" l="1"/>
  <c r="P6" i="27" l="1"/>
  <c r="S16" i="8"/>
  <c r="T16" i="8"/>
  <c r="S17" i="8"/>
  <c r="T17" i="8"/>
  <c r="S18" i="8"/>
  <c r="T18" i="8"/>
  <c r="S19" i="8"/>
  <c r="T19" i="8"/>
  <c r="S20" i="8"/>
  <c r="T20" i="8"/>
  <c r="S21" i="8"/>
  <c r="T21" i="8"/>
  <c r="S22" i="8"/>
  <c r="T22" i="8"/>
  <c r="S23" i="8"/>
  <c r="T23" i="8"/>
  <c r="S24" i="8"/>
  <c r="T24" i="8"/>
  <c r="S25" i="8"/>
  <c r="T25" i="8"/>
  <c r="S26" i="8"/>
  <c r="T26" i="8"/>
  <c r="S27" i="8"/>
  <c r="T27" i="8"/>
  <c r="S28" i="8"/>
  <c r="T28" i="8"/>
  <c r="S29" i="8"/>
  <c r="T29" i="8"/>
  <c r="S30" i="8"/>
  <c r="T30" i="8"/>
  <c r="S31" i="8"/>
  <c r="T31" i="8"/>
  <c r="S32" i="8"/>
  <c r="T32" i="8"/>
  <c r="S33" i="8"/>
  <c r="T33" i="8"/>
  <c r="S34" i="8"/>
  <c r="T34" i="8"/>
  <c r="S35" i="8"/>
  <c r="T35" i="8"/>
  <c r="S36" i="8"/>
  <c r="T36" i="8"/>
  <c r="S37" i="8"/>
  <c r="T37" i="8"/>
  <c r="P5" i="27" l="1"/>
  <c r="Z312" i="8"/>
  <c r="P4" i="27" l="1"/>
  <c r="AU13" i="8"/>
  <c r="P3" i="27" l="1"/>
  <c r="BP13" i="8"/>
  <c r="AC13" i="8" l="1"/>
  <c r="AD13" i="8"/>
  <c r="AE13" i="8"/>
  <c r="N321" i="8" l="1"/>
  <c r="Z321" i="8" s="1"/>
  <c r="N320" i="8"/>
  <c r="Z320" i="8" s="1"/>
  <c r="N319" i="8"/>
  <c r="Z319" i="8" s="1"/>
  <c r="N318" i="8"/>
  <c r="Z318" i="8" s="1"/>
  <c r="N317" i="8"/>
  <c r="Z317" i="8" s="1"/>
  <c r="N316" i="8"/>
  <c r="Z316" i="8" s="1"/>
  <c r="N315" i="8"/>
  <c r="Z315" i="8" s="1"/>
  <c r="N314" i="8"/>
  <c r="Z314" i="8" s="1"/>
  <c r="N313" i="8"/>
  <c r="Z313" i="8" s="1"/>
  <c r="N322" i="8"/>
  <c r="Z322" i="8" s="1"/>
  <c r="B38" i="8"/>
  <c r="B68" i="8"/>
  <c r="B98" i="8"/>
  <c r="B128" i="8"/>
  <c r="B158" i="8"/>
  <c r="B188" i="8"/>
  <c r="B218" i="8"/>
  <c r="B248" i="8"/>
  <c r="B278" i="8"/>
  <c r="B308" i="8"/>
  <c r="B285" i="8" l="1"/>
  <c r="B286" i="8"/>
  <c r="B287" i="8"/>
  <c r="B288" i="8"/>
  <c r="B289" i="8"/>
  <c r="B290" i="8"/>
  <c r="B291" i="8"/>
  <c r="B292" i="8"/>
  <c r="B293" i="8"/>
  <c r="B294" i="8"/>
  <c r="B295" i="8"/>
  <c r="B296" i="8"/>
  <c r="B297" i="8"/>
  <c r="B298" i="8"/>
  <c r="B299" i="8"/>
  <c r="B300" i="8"/>
  <c r="B301" i="8"/>
  <c r="B302" i="8"/>
  <c r="B303" i="8"/>
  <c r="B304" i="8"/>
  <c r="B305" i="8"/>
  <c r="B306" i="8"/>
  <c r="B307" i="8"/>
  <c r="B255" i="8"/>
  <c r="B256" i="8"/>
  <c r="B257" i="8"/>
  <c r="B258" i="8"/>
  <c r="B259" i="8"/>
  <c r="B260" i="8"/>
  <c r="B261" i="8"/>
  <c r="B262" i="8"/>
  <c r="B263" i="8"/>
  <c r="B264" i="8"/>
  <c r="B265" i="8"/>
  <c r="B266" i="8"/>
  <c r="B267" i="8"/>
  <c r="B268" i="8"/>
  <c r="B269" i="8"/>
  <c r="B270" i="8"/>
  <c r="B271" i="8"/>
  <c r="B272" i="8"/>
  <c r="B273" i="8"/>
  <c r="B274" i="8"/>
  <c r="B275" i="8"/>
  <c r="B276" i="8"/>
  <c r="B277" i="8"/>
  <c r="B254" i="8"/>
  <c r="B225" i="8"/>
  <c r="B226" i="8"/>
  <c r="B227" i="8"/>
  <c r="B228" i="8"/>
  <c r="B229" i="8"/>
  <c r="B230" i="8"/>
  <c r="B231" i="8"/>
  <c r="B232" i="8"/>
  <c r="B233" i="8"/>
  <c r="B234" i="8"/>
  <c r="B235" i="8"/>
  <c r="B236" i="8"/>
  <c r="B237" i="8"/>
  <c r="B238" i="8"/>
  <c r="B239" i="8"/>
  <c r="B240" i="8"/>
  <c r="B241" i="8"/>
  <c r="B242" i="8"/>
  <c r="B243" i="8"/>
  <c r="B244" i="8"/>
  <c r="B245" i="8"/>
  <c r="B246" i="8"/>
  <c r="B247" i="8"/>
  <c r="B224" i="8"/>
  <c r="B195" i="8"/>
  <c r="B196" i="8"/>
  <c r="B197" i="8"/>
  <c r="B198" i="8"/>
  <c r="B199" i="8"/>
  <c r="B200" i="8"/>
  <c r="B201" i="8"/>
  <c r="B202" i="8"/>
  <c r="B203" i="8"/>
  <c r="B204" i="8"/>
  <c r="B205" i="8"/>
  <c r="B206" i="8"/>
  <c r="B207" i="8"/>
  <c r="B208" i="8"/>
  <c r="B209" i="8"/>
  <c r="B210" i="8"/>
  <c r="B211" i="8"/>
  <c r="B212" i="8"/>
  <c r="B213" i="8"/>
  <c r="B214" i="8"/>
  <c r="B215" i="8"/>
  <c r="B216" i="8"/>
  <c r="B217" i="8"/>
  <c r="B194" i="8"/>
  <c r="B187" i="8"/>
  <c r="B165" i="8"/>
  <c r="B166" i="8"/>
  <c r="B167" i="8"/>
  <c r="B168" i="8"/>
  <c r="B169" i="8"/>
  <c r="B170" i="8"/>
  <c r="B171" i="8"/>
  <c r="B172" i="8"/>
  <c r="B173" i="8"/>
  <c r="B174" i="8"/>
  <c r="B175" i="8"/>
  <c r="B176" i="8"/>
  <c r="B177" i="8"/>
  <c r="B178" i="8"/>
  <c r="B179" i="8"/>
  <c r="B180" i="8"/>
  <c r="B181" i="8"/>
  <c r="B182" i="8"/>
  <c r="B183" i="8"/>
  <c r="B184" i="8"/>
  <c r="B185" i="8"/>
  <c r="B186" i="8"/>
  <c r="B164" i="8"/>
  <c r="B135" i="8"/>
  <c r="B136" i="8"/>
  <c r="B137" i="8"/>
  <c r="B138" i="8"/>
  <c r="B139" i="8"/>
  <c r="B140" i="8"/>
  <c r="B141" i="8"/>
  <c r="B142" i="8"/>
  <c r="B143" i="8"/>
  <c r="B144" i="8"/>
  <c r="B145" i="8"/>
  <c r="B146" i="8"/>
  <c r="B147" i="8"/>
  <c r="B148" i="8"/>
  <c r="B149" i="8"/>
  <c r="B150" i="8"/>
  <c r="B151" i="8"/>
  <c r="B152" i="8"/>
  <c r="B153" i="8"/>
  <c r="B154" i="8"/>
  <c r="B155" i="8"/>
  <c r="B156" i="8"/>
  <c r="B157" i="8"/>
  <c r="B134" i="8"/>
  <c r="B105" i="8"/>
  <c r="B106" i="8"/>
  <c r="B107" i="8"/>
  <c r="B108" i="8"/>
  <c r="B109" i="8"/>
  <c r="B110" i="8"/>
  <c r="B111" i="8"/>
  <c r="B112" i="8"/>
  <c r="B113" i="8"/>
  <c r="B114" i="8"/>
  <c r="B115" i="8"/>
  <c r="B116" i="8"/>
  <c r="B117" i="8"/>
  <c r="B118" i="8"/>
  <c r="B119" i="8"/>
  <c r="B120" i="8"/>
  <c r="B121" i="8"/>
  <c r="B122" i="8"/>
  <c r="B123" i="8"/>
  <c r="B124" i="8"/>
  <c r="B125" i="8"/>
  <c r="B126" i="8"/>
  <c r="B127" i="8"/>
  <c r="B104" i="8"/>
  <c r="B75" i="8"/>
  <c r="B76" i="8"/>
  <c r="B77" i="8"/>
  <c r="B78" i="8"/>
  <c r="B79" i="8"/>
  <c r="B80" i="8"/>
  <c r="B81" i="8"/>
  <c r="B82" i="8"/>
  <c r="B83" i="8"/>
  <c r="B84" i="8"/>
  <c r="B85" i="8"/>
  <c r="B86" i="8"/>
  <c r="B87" i="8"/>
  <c r="B88" i="8"/>
  <c r="B89" i="8"/>
  <c r="B90" i="8"/>
  <c r="B91" i="8"/>
  <c r="B92" i="8"/>
  <c r="B93" i="8"/>
  <c r="B94" i="8"/>
  <c r="B95" i="8"/>
  <c r="B96" i="8"/>
  <c r="B97" i="8"/>
  <c r="B74" i="8"/>
  <c r="B45" i="8"/>
  <c r="B46" i="8"/>
  <c r="B47" i="8"/>
  <c r="B48" i="8"/>
  <c r="B49" i="8"/>
  <c r="B50" i="8"/>
  <c r="B51" i="8"/>
  <c r="B52" i="8"/>
  <c r="B53" i="8"/>
  <c r="B54" i="8"/>
  <c r="B55" i="8"/>
  <c r="B56" i="8"/>
  <c r="B57" i="8"/>
  <c r="B58" i="8"/>
  <c r="B59" i="8"/>
  <c r="B60" i="8"/>
  <c r="B61" i="8"/>
  <c r="B62" i="8"/>
  <c r="B63" i="8"/>
  <c r="B64" i="8"/>
  <c r="B65" i="8"/>
  <c r="B66" i="8"/>
  <c r="B67" i="8"/>
  <c r="B44" i="8"/>
  <c r="B14" i="8"/>
  <c r="D46" i="23"/>
  <c r="D44" i="23"/>
  <c r="D43" i="23"/>
  <c r="D6" i="23"/>
  <c r="E9" i="23" s="1"/>
  <c r="F9" i="23" s="1"/>
  <c r="H9" i="23" s="1"/>
  <c r="J20" i="23" l="1"/>
  <c r="D25" i="23"/>
  <c r="F25" i="23" s="1"/>
  <c r="H25" i="23" s="1"/>
  <c r="D24" i="23"/>
  <c r="F24" i="23" s="1"/>
  <c r="H24" i="23" s="1"/>
  <c r="D39" i="26" l="1"/>
  <c r="D33" i="26"/>
  <c r="D29" i="26"/>
  <c r="D21" i="26"/>
  <c r="G33" i="26" l="1"/>
  <c r="J33" i="26"/>
  <c r="M33" i="26"/>
  <c r="P33" i="26"/>
  <c r="S33" i="26"/>
  <c r="V33" i="26"/>
  <c r="Y33" i="26"/>
  <c r="AB33" i="26"/>
  <c r="AE33" i="26"/>
  <c r="AH33" i="26"/>
  <c r="J39" i="26"/>
  <c r="G39" i="26"/>
  <c r="M39" i="26"/>
  <c r="P39" i="26"/>
  <c r="S39" i="26"/>
  <c r="V39" i="26"/>
  <c r="Y39" i="26"/>
  <c r="AB39" i="26"/>
  <c r="AE39" i="26"/>
  <c r="AH39" i="26"/>
  <c r="D40" i="26"/>
  <c r="B11" i="22" l="1"/>
  <c r="B14" i="22" s="1"/>
  <c r="B21" i="22" s="1"/>
  <c r="B24" i="22" s="1"/>
  <c r="B25" i="22" s="1"/>
  <c r="B26" i="22" s="1"/>
  <c r="B27" i="22" s="1"/>
  <c r="B30" i="22" s="1"/>
  <c r="B33" i="22" s="1"/>
  <c r="B34" i="22" s="1"/>
  <c r="B35" i="22" s="1"/>
  <c r="B36" i="22" s="1"/>
  <c r="B38" i="22" s="1"/>
  <c r="B39" i="22" s="1"/>
  <c r="B43" i="22" s="1"/>
  <c r="B51" i="22" s="1"/>
  <c r="B52" i="22" s="1"/>
  <c r="B53" i="22" s="1"/>
  <c r="G15" i="21"/>
  <c r="D10" i="23" s="1"/>
  <c r="B9" i="21"/>
  <c r="B10" i="21" l="1"/>
  <c r="B11" i="21" s="1"/>
  <c r="B12" i="21" s="1"/>
  <c r="B13" i="21" s="1"/>
  <c r="B14" i="21" s="1"/>
  <c r="B15" i="21" s="1"/>
  <c r="B16" i="21" s="1"/>
  <c r="B17" i="21" s="1"/>
  <c r="B18" i="21" s="1"/>
  <c r="B19" i="21" s="1"/>
  <c r="B20" i="21" s="1"/>
  <c r="B21" i="21" s="1"/>
  <c r="B22" i="21" s="1"/>
  <c r="B23" i="21" s="1"/>
  <c r="B24" i="21" s="1"/>
  <c r="B25" i="21" s="1"/>
  <c r="B26" i="21" s="1"/>
  <c r="B27" i="21" s="1"/>
  <c r="B28" i="21" s="1"/>
  <c r="B29" i="21" s="1"/>
  <c r="H21" i="23"/>
  <c r="I21" i="23" s="1"/>
  <c r="J21" i="23" s="1"/>
  <c r="B55" i="22"/>
  <c r="B58" i="22" s="1"/>
  <c r="B59" i="22" s="1"/>
  <c r="B60" i="22" s="1"/>
  <c r="B63" i="22" s="1"/>
  <c r="B67" i="22" s="1"/>
  <c r="B68" i="22" s="1"/>
  <c r="B69" i="22" s="1"/>
  <c r="B71" i="22" s="1"/>
  <c r="E68" i="22"/>
  <c r="D35" i="23" s="1"/>
  <c r="F35" i="23" s="1"/>
  <c r="H35" i="23" s="1"/>
  <c r="H26" i="23"/>
  <c r="I26" i="23" s="1"/>
  <c r="J26" i="23" s="1"/>
  <c r="D12" i="23"/>
  <c r="F12" i="23" s="1"/>
  <c r="H12" i="23" s="1"/>
  <c r="D11" i="23"/>
  <c r="F11" i="23" s="1"/>
  <c r="H11" i="23" s="1"/>
  <c r="F20" i="22"/>
  <c r="D48" i="23" s="1"/>
  <c r="F28" i="23"/>
  <c r="H28" i="23" s="1"/>
  <c r="V13" i="8"/>
  <c r="U13" i="8"/>
  <c r="W13" i="8"/>
  <c r="Z13" i="8" s="1"/>
  <c r="X13" i="8"/>
  <c r="Y13" i="8"/>
  <c r="AA13" i="8" s="1"/>
  <c r="AG13" i="8"/>
  <c r="CN13" i="8"/>
  <c r="CL13" i="8"/>
  <c r="CM13" i="8" s="1"/>
  <c r="F10" i="23" l="1"/>
  <c r="AV38" i="8"/>
  <c r="W313" i="8" s="1"/>
  <c r="E37" i="10" s="1"/>
  <c r="AF13" i="8"/>
  <c r="T15" i="8"/>
  <c r="T14" i="8"/>
  <c r="T13" i="8"/>
  <c r="S13" i="8"/>
  <c r="S14" i="8"/>
  <c r="S15" i="8"/>
  <c r="B16" i="8"/>
  <c r="B15" i="8"/>
  <c r="H10" i="23" l="1"/>
  <c r="H16" i="23" s="1"/>
  <c r="I16" i="23" s="1"/>
  <c r="D37" i="10"/>
  <c r="F37" i="10"/>
  <c r="AB13" i="8"/>
  <c r="AL13" i="8" s="1"/>
  <c r="J16" i="23" l="1"/>
  <c r="J41" i="23"/>
  <c r="D18" i="20" s="1"/>
  <c r="G37" i="10"/>
  <c r="AJ13" i="8"/>
  <c r="AT13" i="8"/>
  <c r="AH13" i="8"/>
  <c r="BE13" i="8" l="1"/>
  <c r="BO13" i="8"/>
  <c r="BG13" i="8"/>
  <c r="R9" i="4"/>
  <c r="T65" i="4"/>
  <c r="S65" i="4"/>
  <c r="R65" i="4"/>
  <c r="T64" i="4"/>
  <c r="S64" i="4"/>
  <c r="R64" i="4"/>
  <c r="T63" i="4"/>
  <c r="S63" i="4"/>
  <c r="R63" i="4"/>
  <c r="T62" i="4"/>
  <c r="S62" i="4"/>
  <c r="R62" i="4"/>
  <c r="T61" i="4"/>
  <c r="S61" i="4"/>
  <c r="R61" i="4"/>
  <c r="T60" i="4"/>
  <c r="S60" i="4"/>
  <c r="R60" i="4"/>
  <c r="T59" i="4"/>
  <c r="S59" i="4"/>
  <c r="R59" i="4"/>
  <c r="T58" i="4"/>
  <c r="S58" i="4"/>
  <c r="R58" i="4"/>
  <c r="T57" i="4"/>
  <c r="S57" i="4"/>
  <c r="R57" i="4"/>
  <c r="T56" i="4"/>
  <c r="S56" i="4"/>
  <c r="R56" i="4"/>
  <c r="T55" i="4"/>
  <c r="S55" i="4"/>
  <c r="R55" i="4"/>
  <c r="T54" i="4"/>
  <c r="S54" i="4"/>
  <c r="R54" i="4"/>
  <c r="T53" i="4"/>
  <c r="S53" i="4"/>
  <c r="R53" i="4"/>
  <c r="T52" i="4"/>
  <c r="S52" i="4"/>
  <c r="R52" i="4"/>
  <c r="T51" i="4"/>
  <c r="S51" i="4"/>
  <c r="R51" i="4"/>
  <c r="T50" i="4"/>
  <c r="S50" i="4"/>
  <c r="R50" i="4"/>
  <c r="T49" i="4"/>
  <c r="S49" i="4"/>
  <c r="R49" i="4"/>
  <c r="T48" i="4"/>
  <c r="S48" i="4"/>
  <c r="R48" i="4"/>
  <c r="T47" i="4"/>
  <c r="S47" i="4"/>
  <c r="R47" i="4"/>
  <c r="T46" i="4"/>
  <c r="S46" i="4"/>
  <c r="R46" i="4"/>
  <c r="T45" i="4"/>
  <c r="S45" i="4"/>
  <c r="R45" i="4"/>
  <c r="T44" i="4"/>
  <c r="S44" i="4"/>
  <c r="R44" i="4"/>
  <c r="T43" i="4"/>
  <c r="S43" i="4"/>
  <c r="R43" i="4"/>
  <c r="T42" i="4"/>
  <c r="S42" i="4"/>
  <c r="R42" i="4"/>
  <c r="T41" i="4"/>
  <c r="S41" i="4"/>
  <c r="R41" i="4"/>
  <c r="T40" i="4"/>
  <c r="S40" i="4"/>
  <c r="R40" i="4"/>
  <c r="T39" i="4"/>
  <c r="S39" i="4"/>
  <c r="R39" i="4"/>
  <c r="T38" i="4"/>
  <c r="S38" i="4"/>
  <c r="R38" i="4"/>
  <c r="T37" i="4"/>
  <c r="S37" i="4"/>
  <c r="R37" i="4"/>
  <c r="T36" i="4"/>
  <c r="S36" i="4"/>
  <c r="R36" i="4"/>
  <c r="T35" i="4"/>
  <c r="S35" i="4"/>
  <c r="R35" i="4"/>
  <c r="T34" i="4"/>
  <c r="S34" i="4"/>
  <c r="R34" i="4"/>
  <c r="T33" i="4"/>
  <c r="S33" i="4"/>
  <c r="R33" i="4"/>
  <c r="T32" i="4"/>
  <c r="S32" i="4"/>
  <c r="R32" i="4"/>
  <c r="T31" i="4"/>
  <c r="S31" i="4"/>
  <c r="R31" i="4"/>
  <c r="T30" i="4"/>
  <c r="S30" i="4"/>
  <c r="R30" i="4"/>
  <c r="T29" i="4"/>
  <c r="S29" i="4"/>
  <c r="R29" i="4"/>
  <c r="T28" i="4"/>
  <c r="S28" i="4"/>
  <c r="R28" i="4"/>
  <c r="T27" i="4"/>
  <c r="S27" i="4"/>
  <c r="R27" i="4"/>
  <c r="T26" i="4"/>
  <c r="S26" i="4"/>
  <c r="R26" i="4"/>
  <c r="T25" i="4"/>
  <c r="S25" i="4"/>
  <c r="R25" i="4"/>
  <c r="T24" i="4"/>
  <c r="S24" i="4"/>
  <c r="R24" i="4"/>
  <c r="T23" i="4"/>
  <c r="S23" i="4"/>
  <c r="R23" i="4"/>
  <c r="T22" i="4"/>
  <c r="S22" i="4"/>
  <c r="R22" i="4"/>
  <c r="T21" i="4"/>
  <c r="S21" i="4"/>
  <c r="R21" i="4"/>
  <c r="T20" i="4"/>
  <c r="S20" i="4"/>
  <c r="R20" i="4"/>
  <c r="T19" i="4"/>
  <c r="S19" i="4"/>
  <c r="R19" i="4"/>
  <c r="T18" i="4"/>
  <c r="S18" i="4"/>
  <c r="R18" i="4"/>
  <c r="T17" i="4"/>
  <c r="S17" i="4"/>
  <c r="R17" i="4"/>
  <c r="T16" i="4"/>
  <c r="S16" i="4"/>
  <c r="R16" i="4"/>
  <c r="T15" i="4"/>
  <c r="S15" i="4"/>
  <c r="R15" i="4"/>
  <c r="T14" i="4"/>
  <c r="S14" i="4"/>
  <c r="R14" i="4"/>
  <c r="T13" i="4"/>
  <c r="S13" i="4"/>
  <c r="R13" i="4"/>
  <c r="T12" i="4"/>
  <c r="S12" i="4"/>
  <c r="R12" i="4"/>
  <c r="T11" i="4"/>
  <c r="S11" i="4"/>
  <c r="R11" i="4"/>
  <c r="T10" i="4"/>
  <c r="S10" i="4"/>
  <c r="R10" i="4"/>
  <c r="T9" i="4"/>
  <c r="S9" i="4"/>
  <c r="T8" i="4"/>
  <c r="S8" i="4"/>
  <c r="R8" i="4"/>
  <c r="T7" i="4"/>
  <c r="S7" i="4"/>
  <c r="R7" i="4"/>
  <c r="T6" i="4"/>
  <c r="S6" i="4"/>
  <c r="R6" i="4"/>
  <c r="T5" i="4"/>
  <c r="S5" i="4"/>
  <c r="R5" i="4"/>
  <c r="T4" i="4"/>
  <c r="S4" i="4"/>
  <c r="R4" i="4"/>
  <c r="O313" i="8" l="1"/>
  <c r="E33" i="10" s="1"/>
  <c r="F33" i="10" s="1"/>
  <c r="G33" i="10" s="1"/>
  <c r="AS13" i="8"/>
  <c r="AN13" i="8"/>
  <c r="BN13" i="8"/>
  <c r="BI13" i="8"/>
  <c r="AM13" i="8"/>
  <c r="BH13" i="8"/>
  <c r="AV98" i="8"/>
  <c r="W315" i="8" s="1"/>
  <c r="K37" i="10" s="1"/>
  <c r="L37" i="10" s="1"/>
  <c r="M37" i="10" s="1"/>
  <c r="D7" i="3"/>
  <c r="D16" i="3" s="1"/>
  <c r="D8" i="3"/>
  <c r="D9" i="3"/>
  <c r="D10" i="3"/>
  <c r="D11" i="3"/>
  <c r="D12" i="3"/>
  <c r="D13" i="3"/>
  <c r="D14" i="3"/>
  <c r="D15" i="3"/>
  <c r="D8" i="10"/>
  <c r="D18" i="3"/>
  <c r="D9" i="10" s="1"/>
  <c r="F9" i="10" s="1"/>
  <c r="D19" i="3"/>
  <c r="D10" i="10" s="1"/>
  <c r="F10" i="10" s="1"/>
  <c r="D21" i="3"/>
  <c r="D23" i="3"/>
  <c r="D24" i="3"/>
  <c r="D25" i="3"/>
  <c r="A3" i="20"/>
  <c r="O314" i="8"/>
  <c r="H33" i="10" s="1"/>
  <c r="I33" i="10" s="1"/>
  <c r="J33" i="10" s="1"/>
  <c r="O315" i="8"/>
  <c r="K33" i="10" s="1"/>
  <c r="L33" i="10" s="1"/>
  <c r="M33" i="10" s="1"/>
  <c r="O316" i="8"/>
  <c r="N33" i="10" s="1"/>
  <c r="O33" i="10" s="1"/>
  <c r="P33" i="10" s="1"/>
  <c r="O317" i="8"/>
  <c r="Q33" i="10" s="1"/>
  <c r="R33" i="10" s="1"/>
  <c r="S33" i="10" s="1"/>
  <c r="O318" i="8"/>
  <c r="T33" i="10" s="1"/>
  <c r="U33" i="10" s="1"/>
  <c r="V33" i="10" s="1"/>
  <c r="O319" i="8"/>
  <c r="W33" i="10" s="1"/>
  <c r="X33" i="10" s="1"/>
  <c r="Y33" i="10" s="1"/>
  <c r="O320" i="8"/>
  <c r="Z33" i="10" s="1"/>
  <c r="AA33" i="10" s="1"/>
  <c r="AB33" i="10" s="1"/>
  <c r="AV308" i="8"/>
  <c r="W322" i="8" s="1"/>
  <c r="AF37" i="10" s="1"/>
  <c r="AG37" i="10" s="1"/>
  <c r="AH37" i="10" s="1"/>
  <c r="BF13" i="8"/>
  <c r="AK13" i="8"/>
  <c r="B11" i="10"/>
  <c r="B10" i="10"/>
  <c r="B9" i="10"/>
  <c r="B8" i="10"/>
  <c r="B7" i="10"/>
  <c r="E8" i="10" l="1"/>
  <c r="E12" i="10" s="1"/>
  <c r="D26" i="3"/>
  <c r="AV68" i="8"/>
  <c r="W314" i="8" s="1"/>
  <c r="H37" i="10" s="1"/>
  <c r="I37" i="10" s="1"/>
  <c r="J37" i="10" s="1"/>
  <c r="AV278" i="8"/>
  <c r="W321" i="8" s="1"/>
  <c r="AC37" i="10" s="1"/>
  <c r="AD37" i="10" s="1"/>
  <c r="AE37" i="10" s="1"/>
  <c r="AV248" i="8"/>
  <c r="W320" i="8" s="1"/>
  <c r="Z37" i="10" s="1"/>
  <c r="AA37" i="10" s="1"/>
  <c r="AB37" i="10" s="1"/>
  <c r="AV218" i="8"/>
  <c r="W319" i="8" s="1"/>
  <c r="W37" i="10" s="1"/>
  <c r="X37" i="10" s="1"/>
  <c r="Y37" i="10" s="1"/>
  <c r="AV188" i="8"/>
  <c r="W318" i="8" s="1"/>
  <c r="T37" i="10" s="1"/>
  <c r="U37" i="10" s="1"/>
  <c r="V37" i="10" s="1"/>
  <c r="AV158" i="8"/>
  <c r="W317" i="8" s="1"/>
  <c r="Q37" i="10" s="1"/>
  <c r="R37" i="10" s="1"/>
  <c r="S37" i="10" s="1"/>
  <c r="AV128" i="8"/>
  <c r="W316" i="8" s="1"/>
  <c r="N37" i="10" s="1"/>
  <c r="O37" i="10" s="1"/>
  <c r="P37" i="10" s="1"/>
  <c r="O321" i="8"/>
  <c r="AC33" i="10" s="1"/>
  <c r="AD33" i="10" s="1"/>
  <c r="AE33" i="10" s="1"/>
  <c r="O322" i="8"/>
  <c r="AF33" i="10" s="1"/>
  <c r="AG33" i="10" s="1"/>
  <c r="AH33" i="10" s="1"/>
  <c r="U188" i="8"/>
  <c r="U308" i="8"/>
  <c r="U248" i="8"/>
  <c r="AQ13" i="8"/>
  <c r="BJ13" i="8"/>
  <c r="BK13" i="8" s="1"/>
  <c r="AO13" i="8"/>
  <c r="AP13" i="8" s="1"/>
  <c r="BQ13" i="8"/>
  <c r="BR13" i="8" s="1"/>
  <c r="BS13" i="8" s="1"/>
  <c r="BL13" i="8"/>
  <c r="U278" i="8"/>
  <c r="D7" i="10"/>
  <c r="F7" i="10" s="1"/>
  <c r="U98" i="8"/>
  <c r="U218" i="8"/>
  <c r="U158" i="8"/>
  <c r="U128" i="8"/>
  <c r="U68" i="8"/>
  <c r="V68" i="8" s="1"/>
  <c r="H24" i="26" s="1"/>
  <c r="U38" i="8"/>
  <c r="AW13" i="8"/>
  <c r="AX13" i="8" s="1"/>
  <c r="AY13" i="8" s="1"/>
  <c r="D11" i="10" l="1"/>
  <c r="F11" i="10" s="1"/>
  <c r="F8" i="10"/>
  <c r="CC278" i="8"/>
  <c r="CE278" i="8"/>
  <c r="H278" i="8"/>
  <c r="AC29" i="10" s="1"/>
  <c r="AD29" i="10" s="1"/>
  <c r="AE29" i="10" s="1"/>
  <c r="CD278" i="8"/>
  <c r="AC26" i="10" s="1"/>
  <c r="CF278" i="8"/>
  <c r="V278" i="8"/>
  <c r="G278" i="8"/>
  <c r="CE248" i="8"/>
  <c r="Z28" i="10" s="1"/>
  <c r="H248" i="8"/>
  <c r="Z29" i="10" s="1"/>
  <c r="AA29" i="10" s="1"/>
  <c r="AB29" i="10" s="1"/>
  <c r="CC248" i="8"/>
  <c r="V248" i="8"/>
  <c r="CD248" i="8"/>
  <c r="G248" i="8"/>
  <c r="CF248" i="8"/>
  <c r="CE218" i="8"/>
  <c r="W28" i="10" s="1"/>
  <c r="H218" i="8"/>
  <c r="W29" i="10" s="1"/>
  <c r="X29" i="10" s="1"/>
  <c r="Y29" i="10" s="1"/>
  <c r="CC218" i="8"/>
  <c r="V218" i="8"/>
  <c r="CD218" i="8"/>
  <c r="W26" i="10" s="1"/>
  <c r="G218" i="8"/>
  <c r="CF218" i="8"/>
  <c r="CF188" i="8"/>
  <c r="V188" i="8"/>
  <c r="CE188" i="8"/>
  <c r="T28" i="10" s="1"/>
  <c r="CD188" i="8"/>
  <c r="T26" i="10" s="1"/>
  <c r="G188" i="8"/>
  <c r="CC188" i="8"/>
  <c r="H188" i="8"/>
  <c r="T29" i="10" s="1"/>
  <c r="U29" i="10" s="1"/>
  <c r="V29" i="10" s="1"/>
  <c r="CE158" i="8"/>
  <c r="Q28" i="10" s="1"/>
  <c r="H158" i="8"/>
  <c r="Q29" i="10" s="1"/>
  <c r="R29" i="10" s="1"/>
  <c r="S29" i="10" s="1"/>
  <c r="CC158" i="8"/>
  <c r="CF158" i="8"/>
  <c r="CD158" i="8"/>
  <c r="Q26" i="10" s="1"/>
  <c r="G158" i="8"/>
  <c r="V158" i="8"/>
  <c r="CC128" i="8"/>
  <c r="H128" i="8"/>
  <c r="N29" i="10" s="1"/>
  <c r="O29" i="10" s="1"/>
  <c r="P29" i="10" s="1"/>
  <c r="G128" i="8"/>
  <c r="CF128" i="8"/>
  <c r="V128" i="8"/>
  <c r="CE128" i="8"/>
  <c r="N28" i="10" s="1"/>
  <c r="CD128" i="8"/>
  <c r="N26" i="10" s="1"/>
  <c r="CF98" i="8"/>
  <c r="V98" i="8"/>
  <c r="CD98" i="8"/>
  <c r="K26" i="10" s="1"/>
  <c r="H98" i="8"/>
  <c r="K29" i="10" s="1"/>
  <c r="L29" i="10" s="1"/>
  <c r="M29" i="10" s="1"/>
  <c r="CC98" i="8"/>
  <c r="G98" i="8"/>
  <c r="CE98" i="8"/>
  <c r="K28" i="10" s="1"/>
  <c r="CD68" i="8"/>
  <c r="H26" i="10" s="1"/>
  <c r="G68" i="8"/>
  <c r="CC68" i="8"/>
  <c r="CF68" i="8"/>
  <c r="H68" i="8"/>
  <c r="H29" i="10" s="1"/>
  <c r="I29" i="10" s="1"/>
  <c r="J29" i="10" s="1"/>
  <c r="CE68" i="8"/>
  <c r="H28" i="10" s="1"/>
  <c r="I24" i="26"/>
  <c r="J24" i="26" s="1"/>
  <c r="V38" i="8"/>
  <c r="H38" i="8"/>
  <c r="G38" i="8"/>
  <c r="V308" i="8"/>
  <c r="H308" i="8"/>
  <c r="AF29" i="10" s="1"/>
  <c r="AG29" i="10" s="1"/>
  <c r="AH29" i="10" s="1"/>
  <c r="G308" i="8"/>
  <c r="CF308" i="8"/>
  <c r="CE308" i="8"/>
  <c r="CC308" i="8"/>
  <c r="CD308" i="8"/>
  <c r="AF26" i="10" s="1"/>
  <c r="BT13" i="8"/>
  <c r="BY13" i="8"/>
  <c r="BW13" i="8"/>
  <c r="BW38" i="8" s="1"/>
  <c r="BZ13" i="8"/>
  <c r="BX13" i="8"/>
  <c r="BX278" i="8"/>
  <c r="CI308" i="8"/>
  <c r="BK188" i="8"/>
  <c r="BK128" i="8"/>
  <c r="AP68" i="8"/>
  <c r="BY218" i="8"/>
  <c r="BX308" i="8"/>
  <c r="AP128" i="8"/>
  <c r="AP158" i="8"/>
  <c r="AP218" i="8"/>
  <c r="AP98" i="8"/>
  <c r="W324" i="8"/>
  <c r="AP308" i="8"/>
  <c r="BK308" i="8"/>
  <c r="BU308" i="8" s="1"/>
  <c r="BK278" i="8"/>
  <c r="AP248" i="8"/>
  <c r="BZ188" i="8"/>
  <c r="AP188" i="8"/>
  <c r="BK158" i="8"/>
  <c r="BX158" i="8"/>
  <c r="W323" i="8"/>
  <c r="BY158" i="8"/>
  <c r="BZ158" i="8"/>
  <c r="BW158" i="8"/>
  <c r="BK68" i="8"/>
  <c r="BY98" i="8"/>
  <c r="BW248" i="8"/>
  <c r="BY248" i="8"/>
  <c r="BY188" i="8"/>
  <c r="BW218" i="8"/>
  <c r="BX68" i="8"/>
  <c r="CH98" i="8"/>
  <c r="BX98" i="8"/>
  <c r="BW128" i="8"/>
  <c r="S319" i="8"/>
  <c r="AA319" i="8"/>
  <c r="AE319" i="8" s="1"/>
  <c r="X16" i="26" s="1"/>
  <c r="S313" i="8"/>
  <c r="AA313" i="8"/>
  <c r="AE313" i="8" s="1"/>
  <c r="S317" i="8"/>
  <c r="AA317" i="8"/>
  <c r="AE317" i="8" s="1"/>
  <c r="R16" i="26" s="1"/>
  <c r="S321" i="8"/>
  <c r="AA321" i="8"/>
  <c r="AE321" i="8" s="1"/>
  <c r="AD16" i="26" s="1"/>
  <c r="S322" i="8"/>
  <c r="AA322" i="8"/>
  <c r="AE322" i="8" s="1"/>
  <c r="AG16" i="26" s="1"/>
  <c r="S316" i="8"/>
  <c r="AA316" i="8"/>
  <c r="AE316" i="8" s="1"/>
  <c r="O16" i="26" s="1"/>
  <c r="S320" i="8"/>
  <c r="AA320" i="8"/>
  <c r="AE320" i="8" s="1"/>
  <c r="AA16" i="26" s="1"/>
  <c r="S318" i="8"/>
  <c r="AA318" i="8"/>
  <c r="AE318" i="8" s="1"/>
  <c r="U16" i="26" s="1"/>
  <c r="S314" i="8"/>
  <c r="AA314" i="8"/>
  <c r="AE314" i="8" s="1"/>
  <c r="S315" i="8"/>
  <c r="AA315" i="8"/>
  <c r="AE315" i="8" s="1"/>
  <c r="L16" i="26" s="1"/>
  <c r="BC13" i="8"/>
  <c r="BA13" i="8"/>
  <c r="BB13" i="8"/>
  <c r="CA13" i="8"/>
  <c r="BU13" i="8"/>
  <c r="BV13" i="8"/>
  <c r="CO13" i="8" s="1"/>
  <c r="AP38" i="8"/>
  <c r="BK38" i="8"/>
  <c r="BK98" i="8"/>
  <c r="BK218" i="8"/>
  <c r="BK248" i="8"/>
  <c r="CC13" i="8"/>
  <c r="CC38" i="8" s="1"/>
  <c r="AZ13" i="8"/>
  <c r="Z26" i="10" l="1"/>
  <c r="AA26" i="10" s="1"/>
  <c r="AB26" i="10" s="1"/>
  <c r="AC28" i="10"/>
  <c r="AD28" i="10" s="1"/>
  <c r="AE28" i="10" s="1"/>
  <c r="AF28" i="10"/>
  <c r="AG28" i="10" s="1"/>
  <c r="AH28" i="10" s="1"/>
  <c r="E29" i="10"/>
  <c r="F29" i="10" s="1"/>
  <c r="G29" i="10" s="1"/>
  <c r="N38" i="10"/>
  <c r="O38" i="10" s="1"/>
  <c r="L26" i="10"/>
  <c r="M26" i="10" s="1"/>
  <c r="R28" i="10"/>
  <c r="S28" i="10" s="1"/>
  <c r="AD26" i="10"/>
  <c r="AE26" i="10" s="1"/>
  <c r="AG26" i="10"/>
  <c r="AH26" i="10" s="1"/>
  <c r="I26" i="10"/>
  <c r="J26" i="10" s="1"/>
  <c r="O26" i="10"/>
  <c r="P26" i="10" s="1"/>
  <c r="AF22" i="26"/>
  <c r="AG22" i="26" s="1"/>
  <c r="AH22" i="26" s="1"/>
  <c r="AF24" i="10"/>
  <c r="AG24" i="10" s="1"/>
  <c r="AH24" i="10" s="1"/>
  <c r="L28" i="10"/>
  <c r="M28" i="10" s="1"/>
  <c r="O28" i="10"/>
  <c r="P28" i="10" s="1"/>
  <c r="R26" i="10"/>
  <c r="S26" i="10" s="1"/>
  <c r="U26" i="10"/>
  <c r="V26" i="10" s="1"/>
  <c r="X26" i="10"/>
  <c r="Y26" i="10" s="1"/>
  <c r="U28" i="10"/>
  <c r="V28" i="10" s="1"/>
  <c r="AA28" i="10"/>
  <c r="AB28" i="10" s="1"/>
  <c r="K27" i="10"/>
  <c r="L27" i="10" s="1"/>
  <c r="M27" i="10" s="1"/>
  <c r="I28" i="10"/>
  <c r="J28" i="10" s="1"/>
  <c r="X28" i="10"/>
  <c r="Y28" i="10" s="1"/>
  <c r="F12" i="10"/>
  <c r="B18" i="20" s="1"/>
  <c r="AF24" i="26"/>
  <c r="AG24" i="26" s="1"/>
  <c r="AH24" i="26" s="1"/>
  <c r="AC24" i="26"/>
  <c r="AD24" i="26" s="1"/>
  <c r="AE24" i="26" s="1"/>
  <c r="AC24" i="10"/>
  <c r="AD24" i="10" s="1"/>
  <c r="AE24" i="10" s="1"/>
  <c r="AC22" i="26"/>
  <c r="AD22" i="26" s="1"/>
  <c r="AE22" i="26" s="1"/>
  <c r="Z24" i="26"/>
  <c r="AA24" i="26" s="1"/>
  <c r="AB24" i="26" s="1"/>
  <c r="Z24" i="10"/>
  <c r="AA24" i="10" s="1"/>
  <c r="AB24" i="10" s="1"/>
  <c r="Z22" i="26"/>
  <c r="AA22" i="26" s="1"/>
  <c r="AB22" i="26" s="1"/>
  <c r="W24" i="26"/>
  <c r="X24" i="26" s="1"/>
  <c r="Y24" i="26" s="1"/>
  <c r="W24" i="10"/>
  <c r="X24" i="10" s="1"/>
  <c r="Y24" i="10" s="1"/>
  <c r="W22" i="26"/>
  <c r="X22" i="26" s="1"/>
  <c r="Y22" i="26" s="1"/>
  <c r="T24" i="10"/>
  <c r="U24" i="10" s="1"/>
  <c r="V24" i="10" s="1"/>
  <c r="T22" i="26"/>
  <c r="U22" i="26" s="1"/>
  <c r="V22" i="26" s="1"/>
  <c r="T24" i="26"/>
  <c r="U24" i="26" s="1"/>
  <c r="V24" i="26" s="1"/>
  <c r="Q24" i="26"/>
  <c r="R24" i="26" s="1"/>
  <c r="S24" i="26" s="1"/>
  <c r="Q24" i="10"/>
  <c r="R24" i="10" s="1"/>
  <c r="S24" i="10" s="1"/>
  <c r="Q22" i="26"/>
  <c r="R22" i="26" s="1"/>
  <c r="S22" i="26" s="1"/>
  <c r="N24" i="26"/>
  <c r="O24" i="26" s="1"/>
  <c r="P24" i="26" s="1"/>
  <c r="N24" i="10"/>
  <c r="O24" i="10" s="1"/>
  <c r="P24" i="10" s="1"/>
  <c r="N22" i="26"/>
  <c r="O22" i="26" s="1"/>
  <c r="P22" i="26" s="1"/>
  <c r="K24" i="26"/>
  <c r="L24" i="26" s="1"/>
  <c r="M24" i="26" s="1"/>
  <c r="K24" i="10"/>
  <c r="L24" i="10" s="1"/>
  <c r="M24" i="10" s="1"/>
  <c r="K22" i="26"/>
  <c r="L22" i="26" s="1"/>
  <c r="M22" i="26" s="1"/>
  <c r="H24" i="10"/>
  <c r="I24" i="10" s="1"/>
  <c r="J24" i="10" s="1"/>
  <c r="H22" i="26"/>
  <c r="I22" i="26" s="1"/>
  <c r="J22" i="26" s="1"/>
  <c r="E24" i="10"/>
  <c r="F24" i="10" s="1"/>
  <c r="E22" i="26"/>
  <c r="F22" i="26" s="1"/>
  <c r="E24" i="26"/>
  <c r="F24" i="26" s="1"/>
  <c r="G24" i="26" s="1"/>
  <c r="E38" i="10"/>
  <c r="F38" i="10" s="1"/>
  <c r="T38" i="10"/>
  <c r="U38" i="10" s="1"/>
  <c r="H21" i="10"/>
  <c r="I16" i="26"/>
  <c r="E21" i="10"/>
  <c r="F16" i="26"/>
  <c r="K21" i="10"/>
  <c r="T21" i="10"/>
  <c r="N21" i="10"/>
  <c r="AC21" i="10"/>
  <c r="K38" i="10"/>
  <c r="L38" i="10" s="1"/>
  <c r="N323" i="8"/>
  <c r="D5" i="1" s="1"/>
  <c r="F3" i="10" s="1"/>
  <c r="W38" i="10"/>
  <c r="X38" i="10" s="1"/>
  <c r="Z21" i="10"/>
  <c r="AF21" i="10"/>
  <c r="Q21" i="10"/>
  <c r="W21" i="10"/>
  <c r="AF38" i="10"/>
  <c r="AG38" i="10" s="1"/>
  <c r="Q38" i="10"/>
  <c r="R38" i="10" s="1"/>
  <c r="H38" i="10"/>
  <c r="I38" i="10" s="1"/>
  <c r="Z38" i="10"/>
  <c r="AA38" i="10" s="1"/>
  <c r="CD13" i="8"/>
  <c r="CD38" i="8" s="1"/>
  <c r="E26" i="10" s="1"/>
  <c r="AB322" i="8"/>
  <c r="AD322" i="8" s="1"/>
  <c r="AF19" i="26" s="1"/>
  <c r="AG19" i="26" s="1"/>
  <c r="AH19" i="26" s="1"/>
  <c r="AE324" i="8"/>
  <c r="E6" i="26" s="1"/>
  <c r="S324" i="8"/>
  <c r="S327" i="8" s="1"/>
  <c r="E59" i="22" s="1"/>
  <c r="BW188" i="8"/>
  <c r="CG188" i="8"/>
  <c r="T25" i="10" s="1"/>
  <c r="U25" i="10" s="1"/>
  <c r="V25" i="10" s="1"/>
  <c r="BX188" i="8"/>
  <c r="CI98" i="8"/>
  <c r="BV308" i="8"/>
  <c r="BZ128" i="8"/>
  <c r="BX128" i="8"/>
  <c r="CH308" i="8"/>
  <c r="BW308" i="8"/>
  <c r="BY128" i="8"/>
  <c r="BY68" i="8"/>
  <c r="BZ308" i="8"/>
  <c r="CH128" i="8"/>
  <c r="CG128" i="8"/>
  <c r="N25" i="10" s="1"/>
  <c r="O25" i="10" s="1"/>
  <c r="P25" i="10" s="1"/>
  <c r="CI68" i="8"/>
  <c r="CH158" i="8"/>
  <c r="BZ278" i="8"/>
  <c r="BZ68" i="8"/>
  <c r="BY308" i="8"/>
  <c r="CG308" i="8"/>
  <c r="AF25" i="10" s="1"/>
  <c r="AG25" i="10" s="1"/>
  <c r="AH25" i="10" s="1"/>
  <c r="CI128" i="8"/>
  <c r="CI188" i="8"/>
  <c r="AB318" i="8" s="1"/>
  <c r="CI278" i="8"/>
  <c r="BX218" i="8"/>
  <c r="BZ218" i="8"/>
  <c r="CH188" i="8"/>
  <c r="CG158" i="8"/>
  <c r="Q25" i="10" s="1"/>
  <c r="R25" i="10" s="1"/>
  <c r="S25" i="10" s="1"/>
  <c r="BX248" i="8"/>
  <c r="CG98" i="8"/>
  <c r="K25" i="10" s="1"/>
  <c r="L25" i="10" s="1"/>
  <c r="M25" i="10" s="1"/>
  <c r="CH248" i="8"/>
  <c r="CG218" i="8"/>
  <c r="W25" i="10" s="1"/>
  <c r="X25" i="10" s="1"/>
  <c r="Y25" i="10" s="1"/>
  <c r="CH38" i="8"/>
  <c r="CG38" i="8"/>
  <c r="CH218" i="8"/>
  <c r="CG248" i="8"/>
  <c r="Z25" i="10" s="1"/>
  <c r="AA25" i="10" s="1"/>
  <c r="AB25" i="10" s="1"/>
  <c r="BY38" i="8"/>
  <c r="BZ98" i="8"/>
  <c r="BZ248" i="8"/>
  <c r="BX38" i="8"/>
  <c r="BZ38" i="8"/>
  <c r="CI218" i="8"/>
  <c r="AB319" i="8" s="1"/>
  <c r="CI248" i="8"/>
  <c r="AB320" i="8" s="1"/>
  <c r="S325" i="8"/>
  <c r="AA324" i="8"/>
  <c r="AA325" i="8" s="1"/>
  <c r="P322" i="8"/>
  <c r="T322" i="8" s="1"/>
  <c r="CI13" i="8"/>
  <c r="P317" i="8"/>
  <c r="T317" i="8" s="1"/>
  <c r="P321" i="8"/>
  <c r="T321" i="8" s="1"/>
  <c r="P320" i="8"/>
  <c r="T320" i="8" s="1"/>
  <c r="E13" i="26" s="1"/>
  <c r="P318" i="8"/>
  <c r="T318" i="8" s="1"/>
  <c r="P314" i="8"/>
  <c r="T314" i="8" s="1"/>
  <c r="P313" i="8"/>
  <c r="T313" i="8" s="1"/>
  <c r="P316" i="8"/>
  <c r="T316" i="8" s="1"/>
  <c r="P315" i="8"/>
  <c r="T315" i="8" s="1"/>
  <c r="P319" i="8"/>
  <c r="T319" i="8" s="1"/>
  <c r="CF13" i="8"/>
  <c r="CF38" i="8" s="1"/>
  <c r="S323" i="8"/>
  <c r="S326" i="8" s="1"/>
  <c r="CE13" i="8"/>
  <c r="CE38" i="8" s="1"/>
  <c r="E28" i="10" s="1"/>
  <c r="F25" i="20" l="1"/>
  <c r="B25" i="20" s="1"/>
  <c r="Q27" i="10"/>
  <c r="R27" i="10" s="1"/>
  <c r="S27" i="10" s="1"/>
  <c r="AF27" i="10"/>
  <c r="AG27" i="10" s="1"/>
  <c r="AH27" i="10" s="1"/>
  <c r="F26" i="10"/>
  <c r="G26" i="10" s="1"/>
  <c r="Z27" i="10"/>
  <c r="AA27" i="10" s="1"/>
  <c r="AB27" i="10" s="1"/>
  <c r="N27" i="10"/>
  <c r="O27" i="10" s="1"/>
  <c r="P27" i="10" s="1"/>
  <c r="F28" i="10"/>
  <c r="G28" i="10" s="1"/>
  <c r="W27" i="10"/>
  <c r="X27" i="10" s="1"/>
  <c r="Y27" i="10" s="1"/>
  <c r="D38" i="10"/>
  <c r="D40" i="10" s="1"/>
  <c r="D45" i="10" s="1"/>
  <c r="T27" i="10"/>
  <c r="U27" i="10" s="1"/>
  <c r="V27" i="10" s="1"/>
  <c r="F13" i="26"/>
  <c r="G22" i="26"/>
  <c r="G29" i="26" s="1"/>
  <c r="D5" i="23"/>
  <c r="F2" i="26"/>
  <c r="C20" i="20" s="1"/>
  <c r="E38" i="22"/>
  <c r="E30" i="23" s="1"/>
  <c r="F30" i="23" s="1"/>
  <c r="H30" i="23" s="1"/>
  <c r="D5" i="25"/>
  <c r="E25" i="10"/>
  <c r="F25" i="10" s="1"/>
  <c r="G25" i="10" s="1"/>
  <c r="E27" i="10"/>
  <c r="F27" i="10" s="1"/>
  <c r="G27" i="10" s="1"/>
  <c r="D6" i="25"/>
  <c r="F3" i="26" s="1"/>
  <c r="D33" i="23"/>
  <c r="F33" i="23" s="1"/>
  <c r="H33" i="23" s="1"/>
  <c r="E36" i="23"/>
  <c r="F36" i="23" s="1"/>
  <c r="H36" i="23" s="1"/>
  <c r="G24" i="10"/>
  <c r="F6" i="21"/>
  <c r="F2" i="10"/>
  <c r="AC322" i="8"/>
  <c r="AF22" i="10" s="1"/>
  <c r="AG22" i="10" s="1"/>
  <c r="AH22" i="10" s="1"/>
  <c r="AB321" i="8"/>
  <c r="AD321" i="8" s="1"/>
  <c r="AC19" i="26" s="1"/>
  <c r="AD19" i="26" s="1"/>
  <c r="AE19" i="26" s="1"/>
  <c r="AB316" i="8"/>
  <c r="AC316" i="8" s="1"/>
  <c r="N22" i="10" s="1"/>
  <c r="O22" i="10" s="1"/>
  <c r="P22" i="10" s="1"/>
  <c r="AB315" i="8"/>
  <c r="AC315" i="8" s="1"/>
  <c r="K22" i="10" s="1"/>
  <c r="L22" i="10" s="1"/>
  <c r="M22" i="10" s="1"/>
  <c r="AB314" i="8"/>
  <c r="AC314" i="8" s="1"/>
  <c r="T324" i="8"/>
  <c r="D6" i="10"/>
  <c r="F21" i="10" s="1"/>
  <c r="G21" i="10" s="1"/>
  <c r="Q322" i="8"/>
  <c r="Q318" i="8"/>
  <c r="T30" i="10" s="1"/>
  <c r="CI158" i="8"/>
  <c r="AD320" i="8"/>
  <c r="Z19" i="26" s="1"/>
  <c r="AA19" i="26" s="1"/>
  <c r="AB19" i="26" s="1"/>
  <c r="AC318" i="8"/>
  <c r="T22" i="10" s="1"/>
  <c r="U22" i="10" s="1"/>
  <c r="V22" i="10" s="1"/>
  <c r="AD319" i="8"/>
  <c r="W19" i="26" s="1"/>
  <c r="X19" i="26" s="1"/>
  <c r="Y19" i="26" s="1"/>
  <c r="CI38" i="8"/>
  <c r="AB313" i="8" s="1"/>
  <c r="T323" i="8"/>
  <c r="R322" i="8"/>
  <c r="V322" i="8" s="1"/>
  <c r="E25" i="20" l="1"/>
  <c r="C25" i="20"/>
  <c r="D25" i="20"/>
  <c r="J38" i="10"/>
  <c r="J40" i="10" s="1"/>
  <c r="P38" i="10"/>
  <c r="P40" i="10" s="1"/>
  <c r="M38" i="10"/>
  <c r="M40" i="10" s="1"/>
  <c r="AF30" i="10"/>
  <c r="AG30" i="10" s="1"/>
  <c r="AH30" i="10" s="1"/>
  <c r="AH31" i="10" s="1"/>
  <c r="S38" i="10"/>
  <c r="S40" i="10" s="1"/>
  <c r="G38" i="10"/>
  <c r="G40" i="10" s="1"/>
  <c r="AB38" i="10"/>
  <c r="AB40" i="10" s="1"/>
  <c r="Y38" i="10"/>
  <c r="Y40" i="10" s="1"/>
  <c r="AH38" i="10"/>
  <c r="AH40" i="10" s="1"/>
  <c r="V38" i="10"/>
  <c r="V40" i="10" s="1"/>
  <c r="AD21" i="10"/>
  <c r="AE21" i="10" s="1"/>
  <c r="R21" i="10"/>
  <c r="S21" i="10" s="1"/>
  <c r="AA21" i="10"/>
  <c r="AB21" i="10" s="1"/>
  <c r="O21" i="10"/>
  <c r="P21" i="10" s="1"/>
  <c r="P23" i="10" s="1"/>
  <c r="AG21" i="10"/>
  <c r="AH21" i="10" s="1"/>
  <c r="AH23" i="10" s="1"/>
  <c r="I21" i="10"/>
  <c r="J21" i="10" s="1"/>
  <c r="X21" i="10"/>
  <c r="Y21" i="10" s="1"/>
  <c r="L21" i="10"/>
  <c r="M21" i="10" s="1"/>
  <c r="M23" i="10" s="1"/>
  <c r="U21" i="10"/>
  <c r="V21" i="10" s="1"/>
  <c r="V23" i="10" s="1"/>
  <c r="D27" i="23"/>
  <c r="F27" i="23" s="1"/>
  <c r="H27" i="23" s="1"/>
  <c r="J29" i="26"/>
  <c r="M29" i="26"/>
  <c r="H22" i="10"/>
  <c r="I22" i="10" s="1"/>
  <c r="J22" i="10" s="1"/>
  <c r="AD315" i="8"/>
  <c r="K19" i="26" s="1"/>
  <c r="L19" i="26" s="1"/>
  <c r="M19" i="26" s="1"/>
  <c r="U322" i="8"/>
  <c r="U318" i="8"/>
  <c r="U30" i="10"/>
  <c r="V30" i="10" s="1"/>
  <c r="V31" i="10" s="1"/>
  <c r="D45" i="23"/>
  <c r="D20" i="20"/>
  <c r="D47" i="23"/>
  <c r="AD316" i="8"/>
  <c r="N19" i="26" s="1"/>
  <c r="O19" i="26" s="1"/>
  <c r="P19" i="26" s="1"/>
  <c r="AC321" i="8"/>
  <c r="AC22" i="10" s="1"/>
  <c r="AD22" i="10" s="1"/>
  <c r="AE22" i="10" s="1"/>
  <c r="AB317" i="8"/>
  <c r="AD317" i="8" s="1"/>
  <c r="Q19" i="26" s="1"/>
  <c r="R19" i="26" s="1"/>
  <c r="S19" i="26" s="1"/>
  <c r="AD314" i="8"/>
  <c r="H19" i="26" s="1"/>
  <c r="I19" i="26" s="1"/>
  <c r="J19" i="26" s="1"/>
  <c r="Q317" i="8"/>
  <c r="Q314" i="8"/>
  <c r="Q316" i="8"/>
  <c r="N30" i="10" s="1"/>
  <c r="Q315" i="8"/>
  <c r="Q319" i="8"/>
  <c r="R316" i="8"/>
  <c r="V316" i="8" s="1"/>
  <c r="R317" i="8"/>
  <c r="V317" i="8" s="1"/>
  <c r="R315" i="8"/>
  <c r="V315" i="8" s="1"/>
  <c r="R318" i="8"/>
  <c r="V318" i="8" s="1"/>
  <c r="R319" i="8"/>
  <c r="V319" i="8" s="1"/>
  <c r="R314" i="8"/>
  <c r="V314" i="8" s="1"/>
  <c r="Q320" i="8"/>
  <c r="AC319" i="8"/>
  <c r="W22" i="10" s="1"/>
  <c r="X22" i="10" s="1"/>
  <c r="Y22" i="10" s="1"/>
  <c r="AD318" i="8"/>
  <c r="T19" i="26" s="1"/>
  <c r="U19" i="26" s="1"/>
  <c r="V19" i="26" s="1"/>
  <c r="AC320" i="8"/>
  <c r="Z22" i="10" s="1"/>
  <c r="AA22" i="10" s="1"/>
  <c r="AB22" i="10" s="1"/>
  <c r="AD313" i="8"/>
  <c r="E19" i="26" s="1"/>
  <c r="F19" i="26" s="1"/>
  <c r="G19" i="26" s="1"/>
  <c r="AC313" i="8"/>
  <c r="E22" i="10" s="1"/>
  <c r="R313" i="8"/>
  <c r="V313" i="8" s="1"/>
  <c r="Q313" i="8"/>
  <c r="E30" i="10" s="1"/>
  <c r="R320" i="8"/>
  <c r="V320" i="8" s="1"/>
  <c r="W30" i="10" l="1"/>
  <c r="X30" i="10" s="1"/>
  <c r="Y30" i="10" s="1"/>
  <c r="Y31" i="10" s="1"/>
  <c r="AH45" i="10"/>
  <c r="B14" i="20" s="1"/>
  <c r="H30" i="10"/>
  <c r="I30" i="10" s="1"/>
  <c r="J30" i="10" s="1"/>
  <c r="J31" i="10" s="1"/>
  <c r="Z30" i="10"/>
  <c r="AA30" i="10" s="1"/>
  <c r="AB30" i="10" s="1"/>
  <c r="AB31" i="10" s="1"/>
  <c r="K30" i="10"/>
  <c r="L30" i="10" s="1"/>
  <c r="M30" i="10" s="1"/>
  <c r="M31" i="10" s="1"/>
  <c r="M45" i="10" s="1"/>
  <c r="B7" i="20" s="1"/>
  <c r="Q30" i="10"/>
  <c r="R30" i="10" s="1"/>
  <c r="S30" i="10" s="1"/>
  <c r="S31" i="10" s="1"/>
  <c r="AC317" i="8"/>
  <c r="Q22" i="10" s="1"/>
  <c r="R22" i="10" s="1"/>
  <c r="S22" i="10" s="1"/>
  <c r="S23" i="10" s="1"/>
  <c r="AE23" i="10"/>
  <c r="V45" i="10"/>
  <c r="B10" i="20" s="1"/>
  <c r="G21" i="26"/>
  <c r="G40" i="26" s="1"/>
  <c r="P29" i="26"/>
  <c r="J23" i="10"/>
  <c r="AB23" i="10"/>
  <c r="Y23" i="10"/>
  <c r="AB324" i="8"/>
  <c r="AC324" i="8" s="1"/>
  <c r="D14" i="10" s="1"/>
  <c r="U320" i="8"/>
  <c r="U316" i="8"/>
  <c r="O30" i="10"/>
  <c r="P30" i="10" s="1"/>
  <c r="P31" i="10" s="1"/>
  <c r="P45" i="10" s="1"/>
  <c r="B8" i="20" s="1"/>
  <c r="U314" i="8"/>
  <c r="U319" i="8"/>
  <c r="U317" i="8"/>
  <c r="U315" i="8"/>
  <c r="F22" i="10"/>
  <c r="G22" i="10" s="1"/>
  <c r="G23" i="10" s="1"/>
  <c r="U313" i="8"/>
  <c r="F30" i="10"/>
  <c r="G30" i="10" s="1"/>
  <c r="G31" i="10" s="1"/>
  <c r="S45" i="10" l="1"/>
  <c r="B9" i="20" s="1"/>
  <c r="Y45" i="10"/>
  <c r="B11" i="20" s="1"/>
  <c r="AB45" i="10"/>
  <c r="B12" i="20" s="1"/>
  <c r="J45" i="10"/>
  <c r="B6" i="20" s="1"/>
  <c r="C5" i="20"/>
  <c r="G41" i="26"/>
  <c r="AD324" i="8"/>
  <c r="S29" i="26"/>
  <c r="F14" i="10"/>
  <c r="D7" i="25"/>
  <c r="E12" i="26" s="1"/>
  <c r="J21" i="26"/>
  <c r="J40" i="26" s="1"/>
  <c r="C6" i="20" s="1"/>
  <c r="G45" i="10"/>
  <c r="J41" i="26" l="1"/>
  <c r="G46" i="10"/>
  <c r="J46" i="10"/>
  <c r="V46" i="10"/>
  <c r="M46" i="10"/>
  <c r="P46" i="10"/>
  <c r="S46" i="10"/>
  <c r="B5" i="20"/>
  <c r="Y46" i="10"/>
  <c r="AB46" i="10"/>
  <c r="F12" i="26"/>
  <c r="F14" i="26" s="1"/>
  <c r="D15" i="10"/>
  <c r="F15" i="10" s="1"/>
  <c r="F16" i="10" s="1"/>
  <c r="B16" i="20" s="1"/>
  <c r="M21" i="26"/>
  <c r="M40" i="26" s="1"/>
  <c r="V29" i="26"/>
  <c r="B20" i="20"/>
  <c r="C7" i="20" l="1"/>
  <c r="M41" i="26"/>
  <c r="C16" i="20"/>
  <c r="G42" i="26"/>
  <c r="H5" i="20" s="1"/>
  <c r="J42" i="26"/>
  <c r="H6" i="20" s="1"/>
  <c r="G11" i="20"/>
  <c r="Y47" i="10"/>
  <c r="G10" i="20"/>
  <c r="V47" i="10"/>
  <c r="G9" i="20"/>
  <c r="S47" i="10"/>
  <c r="G5" i="20"/>
  <c r="G47" i="10"/>
  <c r="G8" i="20"/>
  <c r="P47" i="10"/>
  <c r="G6" i="20"/>
  <c r="J47" i="10"/>
  <c r="G7" i="20"/>
  <c r="M47" i="10"/>
  <c r="G12" i="20"/>
  <c r="AB47" i="10"/>
  <c r="Y29" i="26"/>
  <c r="P21" i="26"/>
  <c r="P40" i="26" s="1"/>
  <c r="C8" i="20" s="1"/>
  <c r="P41" i="26" l="1"/>
  <c r="M42" i="26"/>
  <c r="H7" i="20" s="1"/>
  <c r="S21" i="26"/>
  <c r="S40" i="26" s="1"/>
  <c r="C9" i="20" s="1"/>
  <c r="AB29" i="26"/>
  <c r="S41" i="26" l="1"/>
  <c r="P42" i="26"/>
  <c r="H8" i="20" s="1"/>
  <c r="AH29" i="26"/>
  <c r="AE29" i="26"/>
  <c r="V21" i="26"/>
  <c r="V40" i="26" s="1"/>
  <c r="CG278" i="8"/>
  <c r="AC25" i="10" s="1"/>
  <c r="AD25" i="10" s="1"/>
  <c r="AE25" i="10" s="1"/>
  <c r="CH278" i="8"/>
  <c r="AC27" i="10" s="1"/>
  <c r="AP278" i="8"/>
  <c r="AC38" i="10" s="1"/>
  <c r="AD38" i="10" s="1"/>
  <c r="AE38" i="10" s="1"/>
  <c r="AE40" i="10" s="1"/>
  <c r="BY278" i="8"/>
  <c r="BW278" i="8"/>
  <c r="AD27" i="10" l="1"/>
  <c r="AE27" i="10" s="1"/>
  <c r="C10" i="20"/>
  <c r="V41" i="26"/>
  <c r="S42" i="26"/>
  <c r="H9" i="20" s="1"/>
  <c r="Y21" i="26"/>
  <c r="Y40" i="26" s="1"/>
  <c r="C11" i="20" s="1"/>
  <c r="Q321" i="8"/>
  <c r="R321" i="8"/>
  <c r="V321" i="8" s="1"/>
  <c r="AC30" i="10" l="1"/>
  <c r="AD30" i="10" s="1"/>
  <c r="AE30" i="10" s="1"/>
  <c r="AE31" i="10" s="1"/>
  <c r="AE45" i="10" s="1"/>
  <c r="AH46" i="10" s="1"/>
  <c r="Y41" i="26"/>
  <c r="V42" i="26"/>
  <c r="H10" i="20" s="1"/>
  <c r="V323" i="8"/>
  <c r="G316" i="8" s="1"/>
  <c r="G57" i="22" s="1"/>
  <c r="V324" i="8"/>
  <c r="H316" i="8" s="1"/>
  <c r="G73" i="22" s="1"/>
  <c r="AB21" i="26"/>
  <c r="AB40" i="26" s="1"/>
  <c r="C12" i="20" s="1"/>
  <c r="U321" i="8"/>
  <c r="B13" i="20" l="1"/>
  <c r="AE46" i="10"/>
  <c r="G13" i="20" s="1"/>
  <c r="AB41" i="26"/>
  <c r="G14" i="20"/>
  <c r="AH47" i="10"/>
  <c r="Y42" i="26"/>
  <c r="H11" i="20" s="1"/>
  <c r="AH21" i="26"/>
  <c r="AH40" i="26" s="1"/>
  <c r="AE21" i="26"/>
  <c r="AE40" i="26" s="1"/>
  <c r="U323" i="8"/>
  <c r="G314" i="8" s="1"/>
  <c r="G55" i="22" s="1"/>
  <c r="U324" i="8"/>
  <c r="AE47" i="10" l="1"/>
  <c r="C14" i="20"/>
  <c r="AH41" i="26"/>
  <c r="AH42" i="26" s="1"/>
  <c r="C13" i="20"/>
  <c r="AE41" i="26"/>
  <c r="B17" i="20"/>
  <c r="AB42" i="26"/>
  <c r="H12" i="20" s="1"/>
  <c r="G315" i="8"/>
  <c r="G56" i="22" s="1"/>
  <c r="H57" i="22" s="1"/>
  <c r="H315" i="8"/>
  <c r="G72" i="22" s="1"/>
  <c r="H73" i="22" s="1"/>
  <c r="H314" i="8"/>
  <c r="G71" i="22" s="1"/>
  <c r="D37" i="23" l="1"/>
  <c r="F37" i="23" s="1"/>
  <c r="H37" i="23" s="1"/>
  <c r="H39" i="23" s="1"/>
  <c r="I39" i="23" s="1"/>
  <c r="J39" i="23" s="1"/>
  <c r="D31" i="23"/>
  <c r="F31" i="23" s="1"/>
  <c r="H31" i="23" s="1"/>
  <c r="H32" i="23" s="1"/>
  <c r="I32" i="23" s="1"/>
  <c r="J32" i="23" s="1"/>
  <c r="AE42" i="26"/>
  <c r="H13" i="20" s="1"/>
  <c r="H14" i="20"/>
  <c r="B19" i="20"/>
  <c r="J42" i="23" l="1"/>
  <c r="D17" i="20" s="1"/>
  <c r="D19" i="20" s="1"/>
  <c r="D22" i="20" s="1"/>
  <c r="C17" i="20"/>
  <c r="C19" i="20" s="1"/>
  <c r="B22" i="20"/>
  <c r="F28" i="20" l="1"/>
  <c r="F29" i="20" s="1"/>
  <c r="C22" i="20"/>
</calcChain>
</file>

<file path=xl/sharedStrings.xml><?xml version="1.0" encoding="utf-8"?>
<sst xmlns="http://schemas.openxmlformats.org/spreadsheetml/2006/main" count="3727" uniqueCount="798">
  <si>
    <t>Cottonwood</t>
  </si>
  <si>
    <t>Water</t>
  </si>
  <si>
    <t>Elderberry</t>
  </si>
  <si>
    <t>NA</t>
  </si>
  <si>
    <t>Fig</t>
  </si>
  <si>
    <t>#</t>
  </si>
  <si>
    <t>Special Habitat Features in Map Unit</t>
  </si>
  <si>
    <t>Riparian Vegetation Characterization</t>
  </si>
  <si>
    <t>Upper Canopy Density: total percent canopy density (over 15 feet)</t>
  </si>
  <si>
    <t>Percent of land within 0.5 mile buffer around Project Area that DOES NOT support non-native nest predator and parasite populations (e.g., housecats, rats, corvids, cowbirds).</t>
  </si>
  <si>
    <t>Percent Score</t>
  </si>
  <si>
    <t>Riparian Bird Habitat Project Acres</t>
  </si>
  <si>
    <t>Mid Canopy Density: total percent canopy density (2 to 15 ft)</t>
  </si>
  <si>
    <t>Sum of Riparian Vegetation Characteristics Weights and Scores</t>
  </si>
  <si>
    <t>Over hang</t>
  </si>
  <si>
    <t>Yrs</t>
  </si>
  <si>
    <t>Descriptions</t>
  </si>
  <si>
    <t>m/y</t>
  </si>
  <si>
    <t>m</t>
  </si>
  <si>
    <t>rate %/y</t>
  </si>
  <si>
    <t>max %</t>
  </si>
  <si>
    <t>Vineyard</t>
  </si>
  <si>
    <t>Percent of Project Area that currently supports native riparian vegetation (percent)</t>
  </si>
  <si>
    <t>Site Capacity for Project Area</t>
  </si>
  <si>
    <t>Variable</t>
  </si>
  <si>
    <t>Measurement</t>
  </si>
  <si>
    <t>Notes</t>
  </si>
  <si>
    <t xml:space="preserve"> </t>
  </si>
  <si>
    <t>Code</t>
  </si>
  <si>
    <t>Date:</t>
  </si>
  <si>
    <t>Indicator</t>
  </si>
  <si>
    <t>Data</t>
  </si>
  <si>
    <t>Variable Number</t>
  </si>
  <si>
    <t>Mid Canopy: number of different species (2 to 15 feet)</t>
  </si>
  <si>
    <t>Percent of buffer area in listed land uses</t>
  </si>
  <si>
    <t>Weight</t>
  </si>
  <si>
    <t>Normalize</t>
  </si>
  <si>
    <t>Black-headed grosbeak HSI (%)</t>
  </si>
  <si>
    <t>Blue grosbeak HSI (%)</t>
  </si>
  <si>
    <t>Common yellowthroat HSI (%)</t>
  </si>
  <si>
    <t>Song sparrow HSI (%)</t>
  </si>
  <si>
    <t>Spotted towhee HSI (%)</t>
  </si>
  <si>
    <t>Swainson's hawk HSI (%)</t>
  </si>
  <si>
    <t>Tri-colored blackbird HSI (%)</t>
  </si>
  <si>
    <t>Yellow-breasted chat HSI (%)</t>
  </si>
  <si>
    <t>Yellow warbler HSI (%)</t>
  </si>
  <si>
    <t>Total</t>
  </si>
  <si>
    <t>Maximum Value</t>
  </si>
  <si>
    <t>Management</t>
  </si>
  <si>
    <t>Appropriate management practices</t>
  </si>
  <si>
    <t>Ground cover: total percent cover 00 to  2 feet</t>
  </si>
  <si>
    <t>%/y</t>
  </si>
  <si>
    <t>yrs</t>
  </si>
  <si>
    <t>Polygon size</t>
  </si>
  <si>
    <t>Value</t>
  </si>
  <si>
    <t>Score (Normalize* Weight)</t>
  </si>
  <si>
    <t>Sum of Special Habitat Features Weights and Scores</t>
  </si>
  <si>
    <t>Sum of Management Effects Weights and Scores</t>
  </si>
  <si>
    <t>Percent of area within 0.5 mile buffer around Project Area that supports non-native nest predator and parasite populations (e.g., housecats, rats, corvids, cowbirds)</t>
  </si>
  <si>
    <t>m2</t>
  </si>
  <si>
    <t>%</t>
  </si>
  <si>
    <t># stems</t>
  </si>
  <si>
    <t>Acreage of native riparian vegetation in Project Area</t>
  </si>
  <si>
    <t xml:space="preserve">Off-channel oxbows present? </t>
  </si>
  <si>
    <t>Riparian Bird Habitat Scoring</t>
  </si>
  <si>
    <t>Site Name</t>
  </si>
  <si>
    <t>Ht Rate</t>
  </si>
  <si>
    <t>Ht max</t>
  </si>
  <si>
    <t>Your Name:</t>
  </si>
  <si>
    <t>Site Name:</t>
  </si>
  <si>
    <t>Summary</t>
  </si>
  <si>
    <t>Mugwort and/or Hedgenettle</t>
  </si>
  <si>
    <t>Boxelder</t>
  </si>
  <si>
    <t>Map Unit #</t>
  </si>
  <si>
    <t>Date recorder name</t>
  </si>
  <si>
    <t>Field observer name</t>
  </si>
  <si>
    <t xml:space="preserve">Project Overview </t>
  </si>
  <si>
    <t>Calculation Cells</t>
  </si>
  <si>
    <t>Enter Values</t>
  </si>
  <si>
    <t>Indicator groups</t>
  </si>
  <si>
    <t>Scientific Name</t>
  </si>
  <si>
    <t>Common name or Descriptions</t>
  </si>
  <si>
    <t>Emergent wetland plants &lt;3'</t>
  </si>
  <si>
    <t>Emergent wetland plants &lt;3' tall</t>
  </si>
  <si>
    <t>Emergent wetland plants &gt;3'</t>
  </si>
  <si>
    <t>Emergent wetland plants over 3' tall</t>
  </si>
  <si>
    <t>Mesic native shrub</t>
  </si>
  <si>
    <t>WATER</t>
  </si>
  <si>
    <t>Acer negundo</t>
  </si>
  <si>
    <t>Baccharis pilularis</t>
  </si>
  <si>
    <t>Baccharis salicifolia</t>
  </si>
  <si>
    <t>Cephalanthus occidentalis</t>
  </si>
  <si>
    <t>Button willow, button bush</t>
  </si>
  <si>
    <t>Ficus carica</t>
  </si>
  <si>
    <t>Juglans hindsii</t>
  </si>
  <si>
    <t>Populus fremontii</t>
  </si>
  <si>
    <t>Prunus spp.</t>
  </si>
  <si>
    <t>Quercus spp.</t>
  </si>
  <si>
    <t>Rosa californica</t>
  </si>
  <si>
    <t>California wildrose</t>
  </si>
  <si>
    <t>Salix exigua</t>
  </si>
  <si>
    <t>Sambucus nigra subsp. caerulea</t>
  </si>
  <si>
    <t>Arundo donax</t>
  </si>
  <si>
    <t>Malus spp.</t>
  </si>
  <si>
    <t>Artemisia douglasiana or Stachys spp.</t>
  </si>
  <si>
    <r>
      <t xml:space="preserve">Presence of intact riparian areas that are </t>
    </r>
    <r>
      <rPr>
        <u/>
        <sz val="10"/>
        <rFont val="Calibri"/>
        <family val="2"/>
      </rPr>
      <t>&gt;</t>
    </r>
    <r>
      <rPr>
        <sz val="10"/>
        <rFont val="Calibri"/>
        <family val="2"/>
      </rPr>
      <t xml:space="preserve"> 25 acres (10 ha) that overlap with 1.5 mile buffer around Project Area.</t>
    </r>
  </si>
  <si>
    <r>
      <t xml:space="preserve">Percent of Project Area that is adjacent to (within 150 feet of) native or </t>
    </r>
    <r>
      <rPr>
        <b/>
        <i/>
        <sz val="10"/>
        <rFont val="Calibri"/>
        <family val="2"/>
      </rPr>
      <t>undeveloped lands</t>
    </r>
    <r>
      <rPr>
        <sz val="10"/>
        <rFont val="Calibri"/>
        <family val="2"/>
      </rPr>
      <t xml:space="preserve"> (including non-intensively managed uplands, wetlands, riparian habitat, and annual grasslands), that are at least 100 feet wide.</t>
    </r>
  </si>
  <si>
    <r>
      <t xml:space="preserve">Percent of Project Area that is adjacent to (within 150 feet of) native or </t>
    </r>
    <r>
      <rPr>
        <b/>
        <i/>
        <sz val="9"/>
        <rFont val="Arial"/>
        <family val="2"/>
      </rPr>
      <t>undeveloped lands</t>
    </r>
    <r>
      <rPr>
        <sz val="9"/>
        <rFont val="Arial"/>
        <family val="2"/>
      </rPr>
      <t xml:space="preserve"> (including non-intensively managed uplands, wetlands, riparian habitat, and annual grasslands), that are at least 100 feet wide.</t>
    </r>
  </si>
  <si>
    <t>Max value</t>
  </si>
  <si>
    <t>Min value</t>
  </si>
  <si>
    <t>Diversity ranking, by extent of Suitable Habitat Area and number of species supported.</t>
  </si>
  <si>
    <t>Rural homes/ranchettes</t>
  </si>
  <si>
    <t>Manicured park /picnic area</t>
  </si>
  <si>
    <t>Urban/suburban development</t>
  </si>
  <si>
    <t>Polygon number</t>
  </si>
  <si>
    <t>Willow, sandbar</t>
  </si>
  <si>
    <t>Apple</t>
  </si>
  <si>
    <t>Mule's fat</t>
  </si>
  <si>
    <t xml:space="preserve">Date: </t>
  </si>
  <si>
    <t>sq ft</t>
  </si>
  <si>
    <t>Special Habitat Features</t>
  </si>
  <si>
    <t>Orchard: Peach/plum/almond/cherry</t>
  </si>
  <si>
    <t>Willow tree (other)</t>
  </si>
  <si>
    <t>Salix spp. (tree)</t>
  </si>
  <si>
    <t>Philadelphus lewisii</t>
  </si>
  <si>
    <t>Lewis' mock orange</t>
  </si>
  <si>
    <t>Bunch grass/sedge</t>
  </si>
  <si>
    <t>Tamarisk spp.</t>
  </si>
  <si>
    <t>Salt cedar</t>
  </si>
  <si>
    <r>
      <t>Moderate to large feedlots or other livestock operations (</t>
    </r>
    <r>
      <rPr>
        <u/>
        <sz val="10"/>
        <rFont val="Calibri"/>
        <family val="2"/>
      </rPr>
      <t>&gt;</t>
    </r>
    <r>
      <rPr>
        <sz val="10"/>
        <rFont val="Calibri"/>
        <family val="2"/>
      </rPr>
      <t>20 head)</t>
    </r>
  </si>
  <si>
    <t>code</t>
  </si>
  <si>
    <t>Alnus rhombifolia</t>
  </si>
  <si>
    <t>White alder</t>
  </si>
  <si>
    <t xml:space="preserve">Cercis orbiculata </t>
  </si>
  <si>
    <t>California redbud</t>
  </si>
  <si>
    <t>Frangula californica</t>
  </si>
  <si>
    <t>California coffeeberry</t>
  </si>
  <si>
    <t>Fraxinus latifolia</t>
  </si>
  <si>
    <t>Oregon ash</t>
  </si>
  <si>
    <t>Pinus sabiniana</t>
  </si>
  <si>
    <t>Platanus racemosa</t>
  </si>
  <si>
    <t>California sycamore</t>
  </si>
  <si>
    <t>Quercus chrysolepis</t>
  </si>
  <si>
    <t>Live oak (canyon or interior)</t>
  </si>
  <si>
    <t>Quercus douglasii</t>
  </si>
  <si>
    <t>Blue oak (deciduous)</t>
  </si>
  <si>
    <t>Quercus kelloggii</t>
  </si>
  <si>
    <t>California black oak</t>
  </si>
  <si>
    <t>Quercus lobata</t>
  </si>
  <si>
    <t>Valley oak</t>
  </si>
  <si>
    <t>Umbellularia californica</t>
  </si>
  <si>
    <t>California bay</t>
  </si>
  <si>
    <t>Calocedrus decurrens</t>
  </si>
  <si>
    <t>Incense cedar</t>
  </si>
  <si>
    <t>Vitis californica</t>
  </si>
  <si>
    <t>California grape</t>
  </si>
  <si>
    <t>Cercocarpus betuloides</t>
  </si>
  <si>
    <t>Mountain mahogany</t>
  </si>
  <si>
    <t>USDA foliage porosity</t>
  </si>
  <si>
    <t>High</t>
  </si>
  <si>
    <t>Moderate</t>
  </si>
  <si>
    <t>Low</t>
  </si>
  <si>
    <t>USDA growth rate</t>
  </si>
  <si>
    <t>m/yr</t>
  </si>
  <si>
    <t xml:space="preserve">Rapid </t>
  </si>
  <si>
    <t>Slow</t>
  </si>
  <si>
    <t>Foothill or Ghost pine</t>
  </si>
  <si>
    <t>Willow, Goodding's or Red</t>
  </si>
  <si>
    <t>Salix goodingii, S. laevigata</t>
  </si>
  <si>
    <t>Salix spp. (shrub)</t>
  </si>
  <si>
    <t>Veg Strata</t>
  </si>
  <si>
    <t>T</t>
  </si>
  <si>
    <t>H</t>
  </si>
  <si>
    <t>Sh</t>
  </si>
  <si>
    <t>URBAN</t>
  </si>
  <si>
    <t>Landscape Priority score for Project Area</t>
  </si>
  <si>
    <t>Landscape Priority Scoring for Project Area</t>
  </si>
  <si>
    <t>CALIPC Status</t>
  </si>
  <si>
    <t>Native</t>
  </si>
  <si>
    <t>Aesculus californica</t>
  </si>
  <si>
    <t>California buckeye</t>
  </si>
  <si>
    <t>HIGHLY INVASIVE</t>
  </si>
  <si>
    <t>Bare ground (&lt;5% cover)</t>
  </si>
  <si>
    <t>N/A</t>
  </si>
  <si>
    <t>Bare ground with &lt;40% cover</t>
  </si>
  <si>
    <t>Conifers (native or non-native)</t>
  </si>
  <si>
    <t>Cornus spp</t>
  </si>
  <si>
    <t>Dogwood shrub</t>
  </si>
  <si>
    <t>Grasses and forbs: Riparian native</t>
  </si>
  <si>
    <t>Grasses and forbs: non-native annual grasses</t>
  </si>
  <si>
    <t>Grass: irrigated manicured lawn</t>
  </si>
  <si>
    <t>Juglans regia</t>
  </si>
  <si>
    <t>English walnut</t>
  </si>
  <si>
    <t xml:space="preserve">Moderately invasive </t>
  </si>
  <si>
    <t>Non-Native</t>
  </si>
  <si>
    <t>Stone fruit trees: Peach/plum/almond/cherry</t>
  </si>
  <si>
    <t>Annual row crops</t>
  </si>
  <si>
    <t>Himalayan blackberry</t>
  </si>
  <si>
    <t>Rubus californica</t>
  </si>
  <si>
    <t>California blackberry</t>
  </si>
  <si>
    <t>Willow shurb (other than sandbar willow)</t>
  </si>
  <si>
    <t>Upland annual grasses and forbs</t>
  </si>
  <si>
    <t>Urban- developed</t>
  </si>
  <si>
    <t xml:space="preserve">Weeds, herbaceous and highly invasive </t>
  </si>
  <si>
    <t xml:space="preserve">Weeds,herbaceous and non-invasive </t>
  </si>
  <si>
    <t>Example</t>
  </si>
  <si>
    <t xml:space="preserve">1. Refer to literature, published agency reports, or expert communication.
2. Create list of species, life-stages, and periodicity of occurrence.
3. Record ‘1' for Yes or a '0' for No. </t>
  </si>
  <si>
    <t>A</t>
  </si>
  <si>
    <t>B</t>
  </si>
  <si>
    <t>Number of Map Units</t>
  </si>
  <si>
    <t>Total Project Area supporting riparian vegetation (acres).</t>
  </si>
  <si>
    <t>D</t>
  </si>
  <si>
    <t>Total Project Area supporting active floodplain (acres).</t>
  </si>
  <si>
    <t>Assessment Year</t>
  </si>
  <si>
    <t>Size of riparian and floodplain</t>
  </si>
  <si>
    <t>Percent of Map Unit supporting riparian vegetation.</t>
  </si>
  <si>
    <t>Percent of Map Unit supporting active floodplain.</t>
  </si>
  <si>
    <t>Riparian forest: What percent of the map unit is covered by riparian woody vegetation (trees), from a bird's eye view?</t>
  </si>
  <si>
    <t>Percentage of channel margin with overhanging vegetation.</t>
  </si>
  <si>
    <t xml:space="preserve">Floodplain dynamics </t>
  </si>
  <si>
    <t>Within the area of the Map Unit that is inundated at least every 3 years, is there diversity in the vegetation types (forested vs. open grassy and herbaceous patches)?</t>
  </si>
  <si>
    <t>Best management practices</t>
  </si>
  <si>
    <t>Are priority invasive plant species manually removed annually without herbicides?</t>
  </si>
  <si>
    <t xml:space="preserve">Is there application of pesticides within the Map Unit since the last evaluation, or if not, then within the last two years? </t>
  </si>
  <si>
    <t>Are any stockpiles of fertilizers, manure, pesticides, or petrochemicals and fuels stored under secured roofs to prevent run-off?</t>
  </si>
  <si>
    <t>Are there any septic tanks and fields with the Map Unit? If so, are they pumped and maintained regularly and in proper working order?</t>
  </si>
  <si>
    <t>Fish/Aquatic Habitat Scoring</t>
  </si>
  <si>
    <t>Presence of salmonid species and/or listed or candidate native fish species.</t>
  </si>
  <si>
    <t>Riparian and Floodplain</t>
  </si>
  <si>
    <t>Sum of Riparian Floodplain Characteristics Weights and Scores</t>
  </si>
  <si>
    <t>Floodplain Dynamics</t>
  </si>
  <si>
    <t>Sum of Floodplain Features Weights and Scores</t>
  </si>
  <si>
    <t>BMPs</t>
  </si>
  <si>
    <t>Sum of Management Weights and Scores</t>
  </si>
  <si>
    <t>Area, acres</t>
  </si>
  <si>
    <t>Length, feet</t>
  </si>
  <si>
    <t>Veg 1 Type</t>
  </si>
  <si>
    <t>Veg 2 Type</t>
  </si>
  <si>
    <t>V1 Ht (ft)</t>
  </si>
  <si>
    <t>V2 Ht (ft)</t>
  </si>
  <si>
    <t>V1 age (yrs)</t>
  </si>
  <si>
    <t>V1 # different woody species</t>
  </si>
  <si>
    <t>Herbaceous cover (%)</t>
  </si>
  <si>
    <t>V2 age (yrs)</t>
  </si>
  <si>
    <t>V2 # different woody species</t>
  </si>
  <si>
    <t>Vegetation Type 1</t>
  </si>
  <si>
    <t>V1 Ht Rate</t>
  </si>
  <si>
    <t>V1 Ht max</t>
  </si>
  <si>
    <t>V1 Canopy Density Rate</t>
  </si>
  <si>
    <t>V1 Canopy Density Max</t>
  </si>
  <si>
    <t>V1 Age</t>
  </si>
  <si>
    <t xml:space="preserve">V1 Canopy Density </t>
  </si>
  <si>
    <t>V1 Canopy Width Max</t>
  </si>
  <si>
    <t>V1 Canopy Width Rate</t>
  </si>
  <si>
    <t>V1 Canopy Width per plant</t>
  </si>
  <si>
    <t>V1 Canopy Area per plant</t>
  </si>
  <si>
    <t>Vegetation Type 2</t>
  </si>
  <si>
    <t>V2 Ht Rate</t>
  </si>
  <si>
    <t>V2 Ht max</t>
  </si>
  <si>
    <t>V2 Canopy Density Rate</t>
  </si>
  <si>
    <t>V2 Canopy Density Max</t>
  </si>
  <si>
    <t>V2 Age</t>
  </si>
  <si>
    <t xml:space="preserve">V2 Canopy Density </t>
  </si>
  <si>
    <t>V2 Canopy Width Max</t>
  </si>
  <si>
    <t>V2 Canopy Width Rate</t>
  </si>
  <si>
    <t>V2 Canopy Width per plant</t>
  </si>
  <si>
    <t>V2 Canopy Area per plant</t>
  </si>
  <si>
    <t>V1 Dense Upper Canopy per polygon (m2)</t>
  </si>
  <si>
    <t>class</t>
  </si>
  <si>
    <t>ft</t>
  </si>
  <si>
    <t>V1 Height calc*</t>
  </si>
  <si>
    <t>V1 Height to use</t>
  </si>
  <si>
    <t>V1 Mid Canopy Density per polygon</t>
  </si>
  <si>
    <t>V1 Lower Canopy Density per polygon</t>
  </si>
  <si>
    <t>V2 Height to use (m)</t>
  </si>
  <si>
    <t>V2 Height calc*</t>
  </si>
  <si>
    <t>V2 Dense Upper Canopy per polygon (m2)</t>
  </si>
  <si>
    <t>V2 Mid Canopy Density per polygon</t>
  </si>
  <si>
    <t>V2 Lower Canopy Density per polygon</t>
  </si>
  <si>
    <t>V1 and V2 Area of Woody Canopy Closure (m2)</t>
  </si>
  <si>
    <t>V1 and V2 Dense Upper Canopy per polygon (m2)</t>
  </si>
  <si>
    <t>V1 and V2 Mid Canopy Density per polygon</t>
  </si>
  <si>
    <t>V1 and V2 Lower Canopy Density per polygon</t>
  </si>
  <si>
    <t>V1 and V2 Number Tall Woody Species</t>
  </si>
  <si>
    <t>V1 and V2 Number Med Woody Species</t>
  </si>
  <si>
    <t>Date</t>
  </si>
  <si>
    <t>Data recorder name</t>
  </si>
  <si>
    <t>Instructions:</t>
  </si>
  <si>
    <t>Indicator Group</t>
  </si>
  <si>
    <t>Indicator Number</t>
  </si>
  <si>
    <t>Total Project Area</t>
  </si>
  <si>
    <t>Total length of channel within Project Area (ft)</t>
  </si>
  <si>
    <t>Is Project Area within the Dry or mainstem Mokelumne contributing area?</t>
  </si>
  <si>
    <t>Downstream Flooding</t>
  </si>
  <si>
    <t>100-year flood inundation area downstream of Project Area (acres)</t>
  </si>
  <si>
    <t>Value effect of reducing flood inundation in downstream reaches</t>
  </si>
  <si>
    <t>Proximity of this Project Area to other areas that are likely to provide flood attenuation</t>
  </si>
  <si>
    <r>
      <t>Stream length (feet) between either the up or downstream end of the Project Area and the closest end of other areas of at least</t>
    </r>
    <r>
      <rPr>
        <b/>
        <i/>
        <sz val="11"/>
        <rFont val="Calibri"/>
        <family val="2"/>
        <scheme val="minor"/>
      </rPr>
      <t xml:space="preserve"> 10 acres</t>
    </r>
    <r>
      <rPr>
        <sz val="11"/>
        <rFont val="Calibri"/>
        <family val="2"/>
        <scheme val="minor"/>
      </rPr>
      <t xml:space="preserve"> in size that flood at the three listed flow levels.</t>
    </r>
  </si>
  <si>
    <t>Current and Potential Flooding on Site</t>
  </si>
  <si>
    <t>100-year flood inundation in Project area</t>
  </si>
  <si>
    <t xml:space="preserve">Extent (acres) of Project Area inundated by 100-year flood.  </t>
  </si>
  <si>
    <t>5,000 cfs inundation within Project Area.</t>
  </si>
  <si>
    <t xml:space="preserve">Extent (acres) of Project Area inundated by approximately 5,000 cfs. </t>
  </si>
  <si>
    <t>2,600 cfs inundation within Project Area.</t>
  </si>
  <si>
    <t>Has river access to the floodplain(s) within the Project Area changed for the long term since 2006?</t>
  </si>
  <si>
    <t>Indicate yes with a 'y' and no with an 'n'. Long-term permanent changes can include removal or movement of levees, notches in levees or similar changes affecting flood access to Project Area.</t>
  </si>
  <si>
    <t>Man-made impediments to 100 yr floodplain inundation in Project Area</t>
  </si>
  <si>
    <t xml:space="preserve">Probable extent (acres) of 100-year floodplain within Project Area if levees or other man-made impediments to flooding within the site were removed. </t>
  </si>
  <si>
    <t>Man-made impediments to floodplain inundation in Project Area at 5,000 cfs.</t>
  </si>
  <si>
    <t>Probable extent (acres) of flood within Project Area at 5,000 cfs if levees or other man-made impediments to flooding within the site were removed.</t>
  </si>
  <si>
    <t>Man-made impediments to floodplain inundation in Project Area at 2,600 cfs.</t>
  </si>
  <si>
    <t>Probable extent (acres) of flood within Project Area at 2,600 cfs if levees or other man-made impediments  to flooding within the site were removed.</t>
  </si>
  <si>
    <t>Has flooding from the river, or a tributary to the river, occurred in the Project Area?</t>
  </si>
  <si>
    <t>Y for 'yes', and N for 'no'.</t>
  </si>
  <si>
    <t>a. Lowest annual peak flow at which flooding occurred</t>
  </si>
  <si>
    <t>b. Percent of Project Area flooded at that time.</t>
  </si>
  <si>
    <t>a. Highest annual peak flow at which flooding occurred</t>
  </si>
  <si>
    <t>c. Average depth of high water in the flooded portion of the Project Area during highest flooding event (ft)?</t>
  </si>
  <si>
    <t>What hydrologic processess have been observed at the project site during flooding (Mark Y or N in the column to the right).</t>
  </si>
  <si>
    <t>a. Floodplain inundation directly from river channel flow</t>
  </si>
  <si>
    <t>b. Floodplain inundation from flow entering Project Area from adjacent property</t>
  </si>
  <si>
    <t>c. Flow overtopped levee</t>
  </si>
  <si>
    <t>d. Seepage through levee</t>
  </si>
  <si>
    <t>e. Flow through gaps or breaches in levee that were subsequently fixed.</t>
  </si>
  <si>
    <t>f. Flow through gaps or breaches in levee that were left as is.</t>
  </si>
  <si>
    <t xml:space="preserve">g. Summary </t>
  </si>
  <si>
    <t>Active Floodplain and Bank Confinement</t>
  </si>
  <si>
    <t xml:space="preserve">a. upstream cross section </t>
  </si>
  <si>
    <t>b. mid cross section</t>
  </si>
  <si>
    <t>c. lower cross section</t>
  </si>
  <si>
    <t>Bankfull slope in Project Area ( stream length weighted average, shown as percent)</t>
  </si>
  <si>
    <t>Percentage of channel length in Project Area unconfined by a channel margin levee (where channel margin levees are &lt; 30 feet from low flow channel).</t>
  </si>
  <si>
    <t>Existing Floodplain with Direct Access to River Flow</t>
  </si>
  <si>
    <t>Size of floodplain that receives unimpeded flow from the river (acres).</t>
  </si>
  <si>
    <t xml:space="preserve">Elevation of floodplain that receives unimpeded flow from the river </t>
  </si>
  <si>
    <t>Slope of floodplain that receives unimpeded flow from the river within Project Area (percent)</t>
  </si>
  <si>
    <t>Is the ground surface behind the levee flat, or are there low areas or depressions that would hold or direct flood flows more than other areas?</t>
  </si>
  <si>
    <t>b. Areal extent of swale or local depression (acres)</t>
  </si>
  <si>
    <t xml:space="preserve">Percent of floodplain that receives unimpeded flow from the river that is occupied by vegetation </t>
  </si>
  <si>
    <t>a. Percent cover all vegetation from 0 to 2 ft height</t>
  </si>
  <si>
    <t>b. Percent cover woody vegetation 0 to 2 ft height</t>
  </si>
  <si>
    <t>c. Percent cover woody vegetation from 2 to 10 ft height</t>
  </si>
  <si>
    <t>Existing Floodplain with Impeded Access to River Flow</t>
  </si>
  <si>
    <t>Is there a floodplain or relatively flat area from which river flow is regularly impeded by a levee, but that has a similar surface elevation to the areas flooded at 2,600 or 5,000 cfs on the river side of the levee? E.g. a floodplain on the land-side of a levee. Enter 'y' for yes and 'n' for no. If no, skip the following questions.</t>
  </si>
  <si>
    <t>Size of floodplain at that or similar elevation on the land side of the levee (or other structure) within the Project Area (acres).</t>
  </si>
  <si>
    <t xml:space="preserve">Difference in elevation between low flow water surface and top of levee at the upper, mid, and lower cross-section of the Project Area (ft) . </t>
  </si>
  <si>
    <t xml:space="preserve">Difference in elevation between top of levee and the levee-impeded floodplain at the upper, mid, and lower cross-section of the Project Area (ft) . </t>
  </si>
  <si>
    <t>Distance 'as a crow flies' from upper to lower end cross sections across levee-impeded floodplain (ft)</t>
  </si>
  <si>
    <t>Slope of levee-impeded floodplain (percent).</t>
  </si>
  <si>
    <t xml:space="preserve">Percent of levee-impeded floodplain that is occupied by vegetation </t>
  </si>
  <si>
    <t>Category weighted score</t>
  </si>
  <si>
    <t>n/a</t>
  </si>
  <si>
    <t>Flood Zones in Project Area</t>
  </si>
  <si>
    <t>Maximum Scores for Section</t>
  </si>
  <si>
    <t>Total Site Score</t>
  </si>
  <si>
    <t>Flood Observations</t>
  </si>
  <si>
    <t>d. Acre-feet of flood water (no time element) at lowest flood.</t>
  </si>
  <si>
    <t>d. Acre-feet of flood water (no time element) at highest flood.</t>
  </si>
  <si>
    <t>Summary of Flood Observations</t>
  </si>
  <si>
    <t>Rubus armeniacus</t>
  </si>
  <si>
    <t>Native or Non-Native</t>
  </si>
  <si>
    <t>Native Riparian deciduous trees</t>
  </si>
  <si>
    <t>Broadleaved non-invasive exotic Trees</t>
  </si>
  <si>
    <t>Broadleaved non-invasive exotic trees</t>
  </si>
  <si>
    <t>Exotic non-invasive shrubs</t>
  </si>
  <si>
    <t>Broadleaved invasive exotic trees</t>
  </si>
  <si>
    <t>Exotic invasive shrubs</t>
  </si>
  <si>
    <t>California black walnut</t>
  </si>
  <si>
    <t>Coyote brush</t>
  </si>
  <si>
    <t>Unknown Oak</t>
  </si>
  <si>
    <t>Giant reed</t>
  </si>
  <si>
    <t xml:space="preserve">Stillwater Sciences 2011 (Bradford), River Partners 2011 (data), </t>
  </si>
  <si>
    <t>Stillwater Sciences 2011 (Bradford)]</t>
  </si>
  <si>
    <t>Jepson interchange 2013, USDA Plants National Database 2013</t>
  </si>
  <si>
    <t>Jepson interchange 2013, USDA Plants National Database 2013, for Cornus sericea</t>
  </si>
  <si>
    <t>Jepson interchange 2013, USDA Plants National Database 2013, CAL IPC online database 2013</t>
  </si>
  <si>
    <t>USDA Plants National Database 2013 (Assume corn [Zea mays L.])</t>
  </si>
  <si>
    <t>Value effect of reducing flood inundation in downstream reaches:  Based on areas occupied by different landuses in 100yr floodzone</t>
  </si>
  <si>
    <t>Is the ground surface behind the levee flat, or are there low areas or depressions that would hold or direct flood flows more than other areas? (acre-feet)</t>
  </si>
  <si>
    <t>Elevation of floodplain that receives unimpeded flow from the river; entered as average elevation above bankfull flow.</t>
  </si>
  <si>
    <t>Average elevation above bankfull flow (ft)</t>
  </si>
  <si>
    <t>(1) Assumptions from USDA descriptive categories (converted to numeric values)</t>
  </si>
  <si>
    <t>Information Sources (1)</t>
  </si>
  <si>
    <t>Do Not Touch. Tool gets data from Vegetation Parameters  worksheet</t>
  </si>
  <si>
    <t>Do Not Touch. Internal calculation cell</t>
  </si>
  <si>
    <t xml:space="preserve">1. Are you running a time series? Enter '1' for yes, and '0' for no. </t>
  </si>
  <si>
    <t># &gt;15 feet tall</t>
  </si>
  <si>
    <t># 2-15 feet tall</t>
  </si>
  <si>
    <t>Assumption in calculating height, canopy width, and density growth: All of these use information on maximum values (height, width or density), along with measured or estimated rates to calculate the change according to a saturating exponential growth curve where, in the example of height:
Height at Age x = Max ht. * (1 – exp(-Ht Rate*Age/Max ht))</t>
  </si>
  <si>
    <t xml:space="preserve">Assumptions in Canopy density calculations: Only woody species. If plant ht within range (e.g. upper canopy is &gt;4.6 m or 15 ft, mid-canopy is btw 4.6 and 0.9 9 or 2-15 ft, and lower canopy is btw 0 and 2 ft or 0 and 0.9 m), then give it  100% of calculated canopy density, if one ht is within 1 layer above, 50%; if 2 layers above, then 0.25%. If no canopy there at any level, then 0%. </t>
  </si>
  <si>
    <t>Assumptions in canopy size and area calcuations: Assumed canopies are circular, using canopy width as the diameter to calculate surface area:  Area = Pi*(0.5*diameter)^2. The number of per plants is calculated as the number of '1,000 square foot' areas per polygon, multiplied by the number of stems per 1,000 square feet. This number is then multiplied by the canopy area calculated per plant. If that is greater than the polygon areas, then the polygon area is entered, otherwise calculated canopy area is entered. Woody canopy closure calculations include total canopy area for V1 and V2 times thier respective canopy densities. *This assumes that there is no overlap between V1 and V2 vegetation types.* Where this assumption is false and where the sum of V1 and V2 densities is greater than 100%, total percent cover will be over estimated.</t>
  </si>
  <si>
    <t>V1 Area of Woody Canopy Cover (m2)</t>
  </si>
  <si>
    <t>V2 Area of Woody Canopy Cover (m2)</t>
  </si>
  <si>
    <t>% as decimal</t>
  </si>
  <si>
    <t>Tree recruitment*</t>
  </si>
  <si>
    <t>Woody recruitment ratings of H (high), M (medium), and L (low) relate to number of seedlings and saplings aloing with adults. H=5+ seedlings/saplings; M = 2 to 4 seedlings/ saplings, L = 1 to 2 seedlings/ saplings, and 0 = none in polygon.</t>
  </si>
  <si>
    <t># Seedlings/ Saplings</t>
  </si>
  <si>
    <t>Evidence of succession and recruitment: presence of seedlings and/or saplings.</t>
  </si>
  <si>
    <t>MU 2</t>
  </si>
  <si>
    <t>MU 3</t>
  </si>
  <si>
    <t>MU 4</t>
  </si>
  <si>
    <t>MU 6</t>
  </si>
  <si>
    <t>MU7</t>
  </si>
  <si>
    <t>MU 8</t>
  </si>
  <si>
    <t>MU 9</t>
  </si>
  <si>
    <t>MU 10</t>
  </si>
  <si>
    <t>MU 5</t>
  </si>
  <si>
    <t>Weighted average herbaceous and woody cover &lt;2 feet</t>
  </si>
  <si>
    <t>Weighted average all woody cover &lt; 2 ft</t>
  </si>
  <si>
    <t>Weighted average all woody cover 2-10 feet</t>
  </si>
  <si>
    <t>MU</t>
  </si>
  <si>
    <t>D or I Flow?</t>
  </si>
  <si>
    <t>MU size (m2)</t>
  </si>
  <si>
    <t xml:space="preserve">Total </t>
  </si>
  <si>
    <t>I</t>
  </si>
  <si>
    <t>0-2 ft %</t>
  </si>
  <si>
    <t>Herb</t>
  </si>
  <si>
    <t>2-10 ft</t>
  </si>
  <si>
    <t>Indirect flow</t>
  </si>
  <si>
    <t>Flood access impaired vegetation cover (I Column)</t>
  </si>
  <si>
    <t>Flood accessible vegetation cover (D Column)</t>
  </si>
  <si>
    <t>MU with direct (D) or impeded (I) flow from river?</t>
  </si>
  <si>
    <t>V1 Veg strata</t>
  </si>
  <si>
    <t>V2 Veg strata</t>
  </si>
  <si>
    <t>Canopy Density Max</t>
  </si>
  <si>
    <t>Canopy Density Rate</t>
  </si>
  <si>
    <t>Canopy Width Max</t>
  </si>
  <si>
    <t>Canopy Width Rate</t>
  </si>
  <si>
    <t>M</t>
  </si>
  <si>
    <t>Map Unit Number</t>
  </si>
  <si>
    <t>Bird</t>
  </si>
  <si>
    <t>Fish</t>
  </si>
  <si>
    <t>Flood</t>
  </si>
  <si>
    <t>Habitat Acres</t>
  </si>
  <si>
    <t xml:space="preserve">Open Space </t>
  </si>
  <si>
    <t>Low Value Impact</t>
  </si>
  <si>
    <t xml:space="preserve">Medium Value Impact </t>
  </si>
  <si>
    <t>Landscape Priority</t>
  </si>
  <si>
    <t>Site Capacity</t>
  </si>
  <si>
    <t>70:30</t>
  </si>
  <si>
    <t>Map Unit Size, Width SCORE</t>
  </si>
  <si>
    <t>Map Unit Size, Width</t>
  </si>
  <si>
    <t>Adapted to Coarse Textured Soils</t>
  </si>
  <si>
    <t>Adapted to Fine Textured Soils</t>
  </si>
  <si>
    <t>Drought Tolerance</t>
  </si>
  <si>
    <t>Coeff Soil Coarse</t>
  </si>
  <si>
    <t>Coeff Soil Fine</t>
  </si>
  <si>
    <t>Coeff Low Precip</t>
  </si>
  <si>
    <t>No</t>
  </si>
  <si>
    <t>Yes</t>
  </si>
  <si>
    <t>Jepson interchange 2013, USDA Plants National Database 2013; used Malus fusca for soil, moisture needs as no data for M. pumila</t>
  </si>
  <si>
    <t>Medium</t>
  </si>
  <si>
    <t>Based on Ailanthus altissima, USDA Plants Natinal Database 2013</t>
  </si>
  <si>
    <t>Based on Juglans regia (English walnut); USDA Plants National Database 2013</t>
  </si>
  <si>
    <t>Jepson interchange 2013 for Leymus tritichoides and Deschampsia ceaspitosa.  USDA Plants National Database 2013</t>
  </si>
  <si>
    <t>Stillwater Sciences 2011 (Bradford), River Partners 2011 (data), USDA Plants National Database 2013</t>
  </si>
  <si>
    <t>Jepson interchange 2013; used Juglans regia for soil and moisture needs. USDA Plants National Database 2013</t>
  </si>
  <si>
    <t>Stillwater Sciences 2011 (Bradford)]; USDA Plants National Database 2013</t>
  </si>
  <si>
    <t>Jepson interchange 2013, USDA Plants National Database 2013; Soil and climate information from http://grownatives.cnps.org/2010/09/28/california-coffeeberry/</t>
  </si>
  <si>
    <t xml:space="preserve">Medium </t>
  </si>
  <si>
    <t>Plants for a Future 2013; used PFAF for soil and moisture needs http://www.pfaf.org/user/Plant.aspx?LatinName=Vitis+californica</t>
  </si>
  <si>
    <t>Jepson interchange 2013, USDA Plants National Database 2013; for soil and moisture needs used http://www.theodorepayne.org/mediawiki/index.php?title=Cercis_occidentalis</t>
  </si>
  <si>
    <t>River Partners 2011 (data); USDA Plants National Database 2013</t>
  </si>
  <si>
    <t>USDA Plants National Database 2013 (Pseudotsuga menziesii, Douglas fir)'</t>
  </si>
  <si>
    <t>Self-defined size USDA Plants National Database 2013 for Juncus mexicanus</t>
  </si>
  <si>
    <t>None</t>
  </si>
  <si>
    <t>Self-defined size USDA Plants National Database 2013 for Typha latifolia</t>
  </si>
  <si>
    <t xml:space="preserve">CAL IPC online database 2013 (based on scarlet wisteria [Sesbiana punicea]); Wikapedia </t>
  </si>
  <si>
    <t>Based on Caragana arborescens [siberian peashrub]; USDA Plants National Database 2013</t>
  </si>
  <si>
    <t>CAL IPC online database 2013; USDA Plants National Database 2013</t>
  </si>
  <si>
    <t>Assuming frequent mowing; Poa pratensis in USDA Plants National Database 2013</t>
  </si>
  <si>
    <t>USDA Plants National Database 2013 (Bromus mollis and Avena fatua averaged with shorter stature forbs)</t>
  </si>
  <si>
    <t>USDA Plants National Database 2013 (Leymus triticoides and Conyza canadensis averaged with shorter stature forbs)</t>
  </si>
  <si>
    <t>Caplan and Yeakley 2006,  DiTomaso et al. 2010 . USDA Plants National Database 2013; Cal-IPC website RUAR for soil and moisture needs http://www.cal-ipc.org/ip/management/ipcw/pages/detailreport.cfm@usernumber=71&amp;surveynumber=182.php</t>
  </si>
  <si>
    <t>Based on dogwood (Cornus sericea); USDA Plants National Database 2013</t>
  </si>
  <si>
    <t>Jepson interchange 2013, USDA Plants National Database 2013; for soil and moisture needs used PFAF  with Cercocarpus montanus; http://www.pfaf.org/user/Plant.aspx?LatinName=Cercocarpus+montanus</t>
  </si>
  <si>
    <t>Jepson interchange 2013; for soil and moisture needs used http://www.theodorepayne.org/mediawiki/index.php?title=Artemisia_douglasiana</t>
  </si>
  <si>
    <t>Stillwater Sciences 2011 (Bradford); USDA Plants National Database 2013</t>
  </si>
  <si>
    <t>Average of Salix gooddingii, Quercus lobata, Platanus racemosa, and Populus fremontii); USDA Plants National Database 2013, Fraxinus latifolia</t>
  </si>
  <si>
    <t>Jepson interchange 2013, USDA Plants National Database 2013; for soils and moisture needs used Prunus persica PFAF http://www.pfaf.org/user/Plant.aspx?LatinName=Prunus+persica</t>
  </si>
  <si>
    <t>CAL IPC online database 2013 for Tamarisk ramosissima; for soil and moisture needs, used PFAF database http://www.pfaf.org/user/Plant.aspx?LatinName=Tamarix+parviflora</t>
  </si>
  <si>
    <t>Prunus cerasifera or cherry plum is listed by CA IPC as 'limited' concern; for soil and moisture needs, used PFAF http://www.pfaf.org/user/plant.aspx?LatinName=Prunus+cerasifera</t>
  </si>
  <si>
    <t>Based on average of Q. lobata, Q. kelloggii, Q.douglasii and Q. chrysolepis values; USDA Plants National Database 2013</t>
  </si>
  <si>
    <t>USDA Plants National Database 2013 (Bromus diandrus, Foeniculum vulgare, Avena fatua)</t>
  </si>
  <si>
    <t>Stillwater Sciences 2011 (Bradford), River Partners 2011 (data); USDA Plants National Database 2013</t>
  </si>
  <si>
    <t>Vitis aestivalis</t>
  </si>
  <si>
    <t>CAL IPC online database 2013, based on fennel [Foeniculum vulgare]; for soil and moisture needs, used PFAF DB http://www.pfaf.org/user/Plant.aspx?LatinName=Foeniculum+vulgare</t>
  </si>
  <si>
    <t>USDA Plants National Database 2013 (based on field mustard [Brassica rapa] and Panicum dichotomiflorum)</t>
  </si>
  <si>
    <t>Growth max and rates based on Salix lasiolepis: Stillwater Sciences 2011 (Bradford), River Partners 2011 (data); Soils and climate based on Salix exigua: USDA Plants National Database 2013</t>
  </si>
  <si>
    <t>Based on Goodding's or Red Willow; USDA Plants National Database 2013</t>
  </si>
  <si>
    <t>Stillwater Sciences 2011 (Bradford), River Partners 2011 (data); USDA Plants National Database 2013 in formation based on Salix gooddingii only</t>
  </si>
  <si>
    <t>Soil tolerances</t>
  </si>
  <si>
    <t>If coarse soils are reported for site, then growth rates for those species adapted to coarse soils is 0.8, and growth rates for those for species not adapted to coarse soils is 0.5.</t>
  </si>
  <si>
    <t>If fine soils are reported for site, then growth rates for those species adapted to fine soils is 0.8, and growth rates for those for species not adapted to fine soils is 0.5.</t>
  </si>
  <si>
    <t>Water year and drought tolerance.</t>
  </si>
  <si>
    <t>For those species with high drought tolerance, growth rates during low water years is 0.8; for those with medium drought tolderance, growth rates are 0.5 during low water years; and for those species with low drought tolerance, growth rates are 0.2 during low water years.</t>
  </si>
  <si>
    <t>All species growth rates are 0.8 during medium water years and 1.0 during high water years.</t>
  </si>
  <si>
    <t>Explanation: Height growth rates (meters of growth per year) are based on species specific values published by the USDA where no California Central Valley or Delta empirical riparian data are available. For most species, empirical data on growth rates during the first five years are available. Maximum heights are all from the USDA publication. Maximum Canopy densities and Canopy density growth rates are based primarily on professional judgement. Canopy density refers to the combined vertical and horizontal (e.g. densiometer) canopy density. Canopy width (e.g. distance from drip line to drip line) and canopy width growth rate is also included as a variable based on empirical measurements from the Delta and Sacramento Valley. Canopy width by age is then combined with stem density at the site in order to calculate total canopy closure for the stand (as opposed to by individual). Overhang is included as a half of the estimated canopy width. Canopy width measurements are only used in the Shade-a-lator for trees and shrubs planted adjacent to the channel edge.  Height is calculated based on the maximum height, measured growth rate, age using the logistic equation: Ht = Hmax *(1-exp(-rate*age/Hmax)). USDA Characteristics in Plants Profiles: Summer foliage porosity (x/1): 'Dense' =0.9; 'Moderate' = 0.7; 'Low' = 0.3; Growth Rate (m/y): 'Rapid' = 2; Moderate = 1; Slow = 0.3. If coarse soils are reported for site, then growth rates for those species adapted to coarse soils is 0.8, and growth rates for those for species not adapted to coarse soils is 0.5. If fine soils are reported for site, then growth rates for those species adapted to fine soils is 0.8, and growth rates for those for species not adapted to fine soils is 0.5.  For those species with high drought tolerance, growth rates during low water years is 0.8; for those with medium drought tolderance, growth rates are 0.5 during low water years; and for those species with low drought tolerance, growth rates are 0.2 during low water years.  All species growth rates are multiplied by 0.8 during medium water years and 1.0 during high water years (on top of any multipliers that address adaptation to soil texture).</t>
  </si>
  <si>
    <t>Class</t>
  </si>
  <si>
    <t>Dominant Soil Texture (C=coarse; M = medium; F = fine)</t>
  </si>
  <si>
    <t>Coeff Soil Coarse (calc)</t>
  </si>
  <si>
    <t>Coeff Soil Fine (calc)</t>
  </si>
  <si>
    <t>Coeff Low Precip (calc)</t>
  </si>
  <si>
    <t>V2 Soils growth factor</t>
  </si>
  <si>
    <t>V2 Water year growth factor</t>
  </si>
  <si>
    <t>V2 Combined water year and soils growth factor</t>
  </si>
  <si>
    <t>V2 Growth Coefficient for Coarse Soils</t>
  </si>
  <si>
    <t>V2 Growth Coefficient for Fine Soils</t>
  </si>
  <si>
    <t>V1 Coefficient for Coarse Soils</t>
  </si>
  <si>
    <t>V1 Coefficient for Fine Soils</t>
  </si>
  <si>
    <t>V1 Coefficient for Low Water Year</t>
  </si>
  <si>
    <t>V2 Growth Coefficient Low Water Year</t>
  </si>
  <si>
    <t>V1 Soils growth factor</t>
  </si>
  <si>
    <t>V1 Water year growth factor</t>
  </si>
  <si>
    <t>V1 Combined water year and soils growth factor</t>
  </si>
  <si>
    <t>3. Are you targeting a period of high (H), medium (M), or low (L) precipitation or irrigation since last measured?</t>
  </si>
  <si>
    <t>V1 Herbaceous ground cover</t>
  </si>
  <si>
    <t>V2 Herbaceous ground cover</t>
  </si>
  <si>
    <t>Is Project Area within the Dry Creek or mainstem Mokelumne River contributing area?</t>
  </si>
  <si>
    <t>High Value Impact</t>
  </si>
  <si>
    <t>If flooding has been observed in the Project Area, record the highest annual peak flow at which flooding occurred, the percent of the Project Area flooded at that time, and the average depth of flooding that occurred.</t>
  </si>
  <si>
    <t>Channel width-to-depth ratio</t>
  </si>
  <si>
    <t>average for project site</t>
  </si>
  <si>
    <t>Floodplain area that receives unimpeded flow from the river (acres).</t>
  </si>
  <si>
    <t>d. Average floodplain width</t>
  </si>
  <si>
    <t>e.  Average confinement</t>
  </si>
  <si>
    <t>a. Elevational difference common to the floodplain area (ft)</t>
  </si>
  <si>
    <t>a. Elevational difference common to floodplain area (ft)</t>
  </si>
  <si>
    <t>Occurance of all BMPs within "zone of influence" defined as any area within 1,000 ft of project boundary as the same side of the river.</t>
  </si>
  <si>
    <t>acres</t>
  </si>
  <si>
    <t>Within the area of the Map Unit, is there diversity in the vegetation types (forested vs. open grassy and herbaceous patches)?</t>
  </si>
  <si>
    <t>Within the Map Unit, what percent of the banks have NOT been artificially altered (e.g., hardened, riprapped, revetment, channelization, etc, within ~60 ft of channel edge)?.</t>
  </si>
  <si>
    <r>
      <t xml:space="preserve">Fill in the </t>
    </r>
    <r>
      <rPr>
        <b/>
        <sz val="10"/>
        <rFont val="Calibri"/>
        <family val="2"/>
        <scheme val="minor"/>
      </rPr>
      <t>Yellow</t>
    </r>
    <r>
      <rPr>
        <sz val="10"/>
        <rFont val="Calibri"/>
        <family val="2"/>
        <scheme val="minor"/>
      </rPr>
      <t xml:space="preserve"> cells below</t>
    </r>
  </si>
  <si>
    <t>What percent of the Map Unit is currently grazed in a manner that has visibly and persistently altered the vegetation structure and/or composition (i.e. incomplete recovery between years)?</t>
  </si>
  <si>
    <t>Overall Fish/Aquatic Habitat Project Area (acres):</t>
  </si>
  <si>
    <t>Fill in the YELLOW cells below</t>
  </si>
  <si>
    <t>Fill in answers to questions in column F, titled 'Value' and highlighted YELLOW. Do not enter anything into other columns or change the other text. Questions or uncertainties can be added to 'notes' in cell C4 for the whole site, or to Column J (only) for particular questions. See User Guide for additional explanations.</t>
  </si>
  <si>
    <t>Fill in answers to questions in column F, titled 'Value', highlighted YELLOW. Do not enter anything into other columns or change the other text. Questions or uncertainties can be added to 'notes' in cell C4 for the whole site, or to Column J (only) for particular questions. See User Guide for additional explanations.</t>
  </si>
  <si>
    <t>0 /1</t>
  </si>
  <si>
    <t>V1 Native Riparian cover</t>
  </si>
  <si>
    <t>Native Riparian?*</t>
  </si>
  <si>
    <t>*Non-invasive grasses 'accepted' as native riparian due to their broad distribution.</t>
  </si>
  <si>
    <t>V2 Native Riparian</t>
  </si>
  <si>
    <t>V2 Native Riparian cover</t>
  </si>
  <si>
    <t>Direct flow</t>
  </si>
  <si>
    <t>V1 and V2 Native Riparian cover</t>
  </si>
  <si>
    <t>all</t>
  </si>
  <si>
    <t>percent cover</t>
  </si>
  <si>
    <t>decimal %</t>
  </si>
  <si>
    <t>ALL</t>
  </si>
  <si>
    <t>riparian area</t>
  </si>
  <si>
    <t>Total Project Area supporting riparian vegetation. (acres)</t>
  </si>
  <si>
    <t>Total Project Area supporting active floodplain. (acres)</t>
  </si>
  <si>
    <t>total m2</t>
  </si>
  <si>
    <t>V1 # woody plants or clumps / 1,000 sqft</t>
  </si>
  <si>
    <t>V2 # woodyplants or clumps/ 1,000 sqft</t>
  </si>
  <si>
    <t>V1 Number Tall Woody Species- (Species Code if unique entry)</t>
  </si>
  <si>
    <t>V1 Number Med Woody Species- (Species Code if unique entry)</t>
  </si>
  <si>
    <t>V2 Number Med Woody Species- (Species Code if unique entry)</t>
  </si>
  <si>
    <t>V2 Number Tall Woody Species- (Species Code if unique entry)</t>
  </si>
  <si>
    <t># of trees species 
(V1+V2)</t>
  </si>
  <si>
    <t>Fill in data from field sheet (YELLOW ONLY)</t>
  </si>
  <si>
    <t xml:space="preserve">0-2 ft </t>
  </si>
  <si>
    <t>% mugwort, hedgenettle, Santa Barbara Sedge, California blackberry</t>
  </si>
  <si>
    <t>Percent of area within 1.5 mile buffer around Project Area with a CADC Habitat Suitability Index of 40% or higher for riparian focal species.</t>
  </si>
  <si>
    <t>Percent of area within 1.5 mile buffer around Project Area with a CADC Habitat Suitability Index of 40% or higher for riparian focal species (green-blue to blue).</t>
  </si>
  <si>
    <t>Estimated percent of land within 0.5 mile buffer around Project Area that supports intact riparian vegetation (excluding Project Area itself).</t>
  </si>
  <si>
    <t xml:space="preserve">Reach length of Map Unit (feet). </t>
  </si>
  <si>
    <t xml:space="preserve">1. BMPs fish field form include (1) annual invasive plant species rmoval without herbicide application; (2) no pesticide application within past 2 yrs; (3) minimizing surface erosion from bare soil; (4) stockpiling any fertilizers, manure, pesticides, petrochemicals or fuels under secure roofs to prevent runoff; and (5) regular pumping and proper maintenance of any local septic tanks.
2. Record ‘1' for Yes or a '0' for No. </t>
  </si>
  <si>
    <t>Implementation of all BMPs within "zone of influence" defined as any area within 1,000 ft of project boundary on the same side of the river.</t>
  </si>
  <si>
    <t>Landscape Priority for Fish/Aquatic Species</t>
  </si>
  <si>
    <t>Acres of riparian vegetation within map unit</t>
  </si>
  <si>
    <t>Project Area Summary</t>
  </si>
  <si>
    <t>Native Riparian Summary</t>
  </si>
  <si>
    <t>Emergent Wetlands</t>
  </si>
  <si>
    <t>Map Unit Summary</t>
  </si>
  <si>
    <t>I don't think these are necessary</t>
  </si>
  <si>
    <t>V1 Emergent Wetland vegetation area (m2)</t>
  </si>
  <si>
    <t>V1 Emergent Marsh Vegetation</t>
  </si>
  <si>
    <t>V1 Native Riparian (1=yes; 0=no)</t>
  </si>
  <si>
    <t xml:space="preserve">This material is based upon work supported by the Natural Resources Conservation Service, U.S. Department of Agriculture, under number 69-3A75-11-194.  Any opinions, findings, conclusions, or recommendations expressed in this publication are those of the author(s) and do not necessarily reflect the views of the U.S. Department of Agriculture.
</t>
  </si>
  <si>
    <t xml:space="preserve">FEMA 100-year flood area (acres) downstream of the Project area. </t>
  </si>
  <si>
    <t>Size of nearest downstream area with expected medium value impact from flooding (acres).</t>
  </si>
  <si>
    <t>Proximity of Project Area to downstream areas with expected medium value impact from flooding (distance in feet).</t>
  </si>
  <si>
    <r>
      <t xml:space="preserve">Spatial extent (acres) of </t>
    </r>
    <r>
      <rPr>
        <b/>
        <i/>
        <sz val="11"/>
        <rFont val="Calibri"/>
        <family val="2"/>
        <scheme val="minor"/>
      </rPr>
      <t>nearest</t>
    </r>
    <r>
      <rPr>
        <sz val="11"/>
        <rFont val="Calibri"/>
        <family val="2"/>
        <scheme val="minor"/>
      </rPr>
      <t xml:space="preserve"> downstream area that occurs within the FEMA 100 yr flood zone and has medium value impact of reducing flood inundation (defined in indicator #5).</t>
    </r>
  </si>
  <si>
    <t>Size of nearest downstream area with expected high value impact with flooding (acres).</t>
  </si>
  <si>
    <t>Proximity of Project Area to downstream areas with expected high value impact from flooding (distance in feet).</t>
  </si>
  <si>
    <r>
      <t xml:space="preserve">Spatial extent (acres) of </t>
    </r>
    <r>
      <rPr>
        <b/>
        <i/>
        <sz val="11"/>
        <rFont val="Calibri"/>
        <family val="2"/>
        <scheme val="minor"/>
      </rPr>
      <t>nearest</t>
    </r>
    <r>
      <rPr>
        <sz val="11"/>
        <rFont val="Calibri"/>
        <family val="2"/>
        <scheme val="minor"/>
      </rPr>
      <t xml:space="preserve"> downstream area that occurs within the FEMA 100 yr flood zone and has high value impact of reducing flood inundation (defined in indicator #5)</t>
    </r>
    <r>
      <rPr>
        <sz val="11"/>
        <rFont val="Calibri"/>
        <family val="2"/>
        <scheme val="minor"/>
      </rPr>
      <t xml:space="preserve">. </t>
    </r>
  </si>
  <si>
    <t>Closest flooded area within FEMA 100 yr flood zone (distance in feet)</t>
  </si>
  <si>
    <t>Closest flooded area at 5,000 cfs level flow (distance in feet)</t>
  </si>
  <si>
    <t>Closest flooded area at 2,600 cfs level flow (distance in feet)</t>
  </si>
  <si>
    <t>Extent (acres) of Project Area inundated by approximately 2,600 cfs.</t>
  </si>
  <si>
    <t>c. Average depth of high water in flooded portion of the Project Area during lowest flooding (feet)?</t>
  </si>
  <si>
    <t>If flooding has been observed in the Project Area, record the lowest annual peak flow at which flooding occurred, the percent of the Project Area flooded at that time, and the average depth of flooding that occurred.</t>
  </si>
  <si>
    <t>Distance along channel between upstream and mid cross section (feet)</t>
  </si>
  <si>
    <t>Distance along channel between mid and lower cross section (feet)</t>
  </si>
  <si>
    <t xml:space="preserve">Bankfull width at the upper, mid, and lower cross-section of the Project Area (feet). </t>
  </si>
  <si>
    <t xml:space="preserve">Elevation difference between low flow water surface and bankfull indicators at the upper, mid, and lower cross-section of the Project Area (feet) . </t>
  </si>
  <si>
    <t>Bankfull slope in Project Area ( stream length weighted average, shown as percent) between upstream and lower cross sections</t>
  </si>
  <si>
    <t>Is there a floodplain that inundates at 2,600 and/or 5,000 cfs  that has unimpeded connection to the river? E.g. If a levee is present, this floodplain would be on the river-side of the levee. If no, skip to question 37</t>
  </si>
  <si>
    <t>a. At 2,600 cfs</t>
  </si>
  <si>
    <t>b. At 5,000 cfs</t>
  </si>
  <si>
    <t xml:space="preserve">d. Average elevation above low flow and bankfull </t>
  </si>
  <si>
    <t>Size of floodplain or relatively flat area from which river flow is regularly impeded by a levee.</t>
  </si>
  <si>
    <t>d. Average height above bankfull elevation (ft)</t>
  </si>
  <si>
    <t>a. upstream cross section (river left)</t>
  </si>
  <si>
    <t>b. mid cross section (river left)</t>
  </si>
  <si>
    <t>c. lower cross section (river left)</t>
  </si>
  <si>
    <t>a. upstream cross section (river right)</t>
  </si>
  <si>
    <t>b. mid cross section (river right)</t>
  </si>
  <si>
    <t>c. lower cross section (river right)</t>
  </si>
  <si>
    <t>Indicate yes with a 'y' and no with an 'n'. You may use Google earth to answer this question.</t>
  </si>
  <si>
    <t>Are there urban lands within 5 miles downstream of site and 0.5 miles of the river that are outside of the 100 yr FEMA flood area?</t>
  </si>
  <si>
    <t>28a</t>
  </si>
  <si>
    <t>28d</t>
  </si>
  <si>
    <t>29a</t>
  </si>
  <si>
    <t>29d</t>
  </si>
  <si>
    <t xml:space="preserve">Estimated percent of area within 0.5 mile buffer around Project Area that supports intact riparian vegetation (excluding Project Area itself). </t>
  </si>
  <si>
    <t>Percent of area.  Enter percent as 0 to 100 value.</t>
  </si>
  <si>
    <t>Percent of Project Area boundary length that borders undeveloped lands that are at least 100 feet wide and no more than 150 feet from the project boundary. Enter percent as 0 to 100 value.</t>
  </si>
  <si>
    <r>
      <t xml:space="preserve">Presence of intact riparian areas that are </t>
    </r>
    <r>
      <rPr>
        <u/>
        <sz val="9"/>
        <rFont val="Arial"/>
        <family val="2"/>
      </rPr>
      <t>&gt;</t>
    </r>
    <r>
      <rPr>
        <sz val="9"/>
        <rFont val="Arial"/>
        <family val="2"/>
      </rPr>
      <t xml:space="preserve"> 25 acres (10 ha) that overlap with 1.5 mile buffer around Project Area. "0" is "not present" and "1" is "present".</t>
    </r>
  </si>
  <si>
    <t xml:space="preserve">Bankfull width-to-depth ratio. </t>
  </si>
  <si>
    <t>Sum of Site Information Weights and Scores</t>
  </si>
  <si>
    <t>Site information</t>
  </si>
  <si>
    <t>General Site Information</t>
  </si>
  <si>
    <t>Has river access to the floodplain(s) within the Project Area changed for the long term since 2006? ("Y" is entered as a 1, and "N" is entered as a 0.)</t>
  </si>
  <si>
    <t>Sum of Existing Flood Zones Area Weights and Scores</t>
  </si>
  <si>
    <t>Sum of Active Floodplain and Bank Confinement Weights and Scores</t>
  </si>
  <si>
    <t>Sum of Existing Accessible Floodplain Weights and Scores</t>
  </si>
  <si>
    <t>Sum of Impeded Floodplain Weights and Scores</t>
  </si>
  <si>
    <t>Landscape Priority Score</t>
  </si>
  <si>
    <t>Site Score</t>
  </si>
  <si>
    <t>Proximity of this Project Area to other areas that are likely to provide flood attenuation at 2600, 5000, and 100 yr FEMA flows, in feet</t>
  </si>
  <si>
    <t>Landscape Priority: Downstream Flooding Impacts and Adjacent Flood Attenuation Potential</t>
  </si>
  <si>
    <t>Sum of Landscape Priority Weights and Scores</t>
  </si>
  <si>
    <t>Total Project Area (acres)</t>
  </si>
  <si>
    <t>Site Capacity:LS Priority split</t>
  </si>
  <si>
    <t>1:1</t>
  </si>
  <si>
    <t>Combined Riparian Service Score</t>
  </si>
  <si>
    <t>Sum of LS scores</t>
  </si>
  <si>
    <t>Landscape Priority Weight</t>
  </si>
  <si>
    <t xml:space="preserve">Width of floodplain that receives unimpeded flow from the river, ft. </t>
  </si>
  <si>
    <t>Channel confinement  [(floodplain + channel width)/channel width]</t>
  </si>
  <si>
    <t xml:space="preserve">d. Average bank confinement  </t>
  </si>
  <si>
    <t>Area weighted combined MU-PA capacity scores</t>
  </si>
  <si>
    <t>Of the trees within ~60 ft of the channel, what percentage have a DBH ≥ 20-24 in?</t>
  </si>
  <si>
    <t>Project Area Capacity Score</t>
  </si>
  <si>
    <t>Site Acres</t>
  </si>
  <si>
    <t>Combined Site Capacity and area-weighted average Map Unit Capacity Score</t>
  </si>
  <si>
    <r>
      <t xml:space="preserve">Riparian Bird Habitat Office Data: 
</t>
    </r>
    <r>
      <rPr>
        <sz val="14"/>
        <rFont val="Calibri"/>
        <family val="2"/>
      </rPr>
      <t xml:space="preserve">Fill in answers directly from Office Data Sheet. </t>
    </r>
    <r>
      <rPr>
        <b/>
        <sz val="14"/>
        <rFont val="Calibri"/>
        <family val="2"/>
      </rPr>
      <t>ENTER DATA IN YELLOW CELLS ONLY</t>
    </r>
    <r>
      <rPr>
        <sz val="14"/>
        <rFont val="Calibri"/>
        <family val="2"/>
      </rPr>
      <t>. To delete example data use clear contents command. 
 DO NOT DELETE CELLS.  See directions booklet for additional explanations.</t>
    </r>
  </si>
  <si>
    <r>
      <rPr>
        <b/>
        <sz val="12"/>
        <rFont val="Arial"/>
        <family val="2"/>
      </rPr>
      <t xml:space="preserve">Riparian Bird Habitat Score Sheet: </t>
    </r>
    <r>
      <rPr>
        <sz val="12"/>
        <rFont val="Arial"/>
        <family val="2"/>
      </rPr>
      <t xml:space="preserve">
No data entry required. DO NOT DELETE  or ENTER DATA INTO CELLS. </t>
    </r>
  </si>
  <si>
    <r>
      <t xml:space="preserve">Aquatic / Fish Habitat Office Data: 
</t>
    </r>
    <r>
      <rPr>
        <sz val="14"/>
        <rFont val="Calibri"/>
        <family val="2"/>
      </rPr>
      <t xml:space="preserve">Fill in answers directly from Field Data Sheet. </t>
    </r>
    <r>
      <rPr>
        <b/>
        <sz val="14"/>
        <rFont val="Calibri"/>
        <family val="2"/>
      </rPr>
      <t>ENTER DATA IN YELLOW CELLS ONLY</t>
    </r>
    <r>
      <rPr>
        <sz val="14"/>
        <rFont val="Calibri"/>
        <family val="2"/>
      </rPr>
      <t>. To delete example data use clear contents command. 
 DO NOT DELETE CELLS.  See directions booklet for additional explanations.</t>
    </r>
  </si>
  <si>
    <r>
      <t xml:space="preserve">Flood Attenuation Office Data 
</t>
    </r>
    <r>
      <rPr>
        <sz val="16"/>
        <rFont val="Calibri"/>
        <family val="2"/>
        <scheme val="minor"/>
      </rPr>
      <t>Fill in answers directly from Office Data Sheet. ENTER DATA IN YELLOW CELLS ONLY. To delete example data use clear contents command. 
 DO NOT DELETE CELLS.  See directions booklet for additional explanations.</t>
    </r>
  </si>
  <si>
    <r>
      <t xml:space="preserve">Riparian Flood Attenuation Scoring
</t>
    </r>
    <r>
      <rPr>
        <sz val="14"/>
        <rFont val="Calibri"/>
        <family val="2"/>
        <scheme val="minor"/>
      </rPr>
      <t xml:space="preserve">No data entry required. </t>
    </r>
    <r>
      <rPr>
        <b/>
        <sz val="14"/>
        <rFont val="Calibri"/>
        <family val="2"/>
        <scheme val="minor"/>
      </rPr>
      <t xml:space="preserve">DO NOT DELETE  or ENTER DATA INTO CELLS. 
</t>
    </r>
  </si>
  <si>
    <r>
      <t xml:space="preserve">**EXAMPLE DATA IS ENTERED INTO THE FIRST YELLOW CELL ROWS. TO ENTER DATA </t>
    </r>
    <r>
      <rPr>
        <b/>
        <sz val="10"/>
        <color indexed="10"/>
        <rFont val="Calibri"/>
        <family val="2"/>
      </rPr>
      <t xml:space="preserve">CLEAR CONTENTS IN YELLOW CELLS ONLY. USE CLEAR CONTENTS COMMAND and DO NOT DELETE ROWS. ENTER COLLECTED DATA INTO YELLOW CELLS ONLY.  </t>
    </r>
  </si>
  <si>
    <r>
      <rPr>
        <b/>
        <sz val="12"/>
        <rFont val="Arial"/>
        <family val="2"/>
      </rPr>
      <t xml:space="preserve">Aquatic/Fish Habitat Score Sheet: </t>
    </r>
    <r>
      <rPr>
        <sz val="12"/>
        <rFont val="Arial"/>
        <family val="2"/>
      </rPr>
      <t xml:space="preserve">
No data entry required. </t>
    </r>
    <r>
      <rPr>
        <b/>
        <sz val="12"/>
        <rFont val="Arial"/>
        <family val="2"/>
      </rPr>
      <t>DO NOT DELETE</t>
    </r>
    <r>
      <rPr>
        <sz val="12"/>
        <rFont val="Arial"/>
        <family val="2"/>
      </rPr>
      <t xml:space="preserve">  or </t>
    </r>
    <r>
      <rPr>
        <b/>
        <sz val="12"/>
        <rFont val="Arial"/>
        <family val="2"/>
      </rPr>
      <t xml:space="preserve">ENTER DATA INTO CELLS. </t>
    </r>
  </si>
  <si>
    <t>Project Area Capacity SCORE</t>
  </si>
  <si>
    <t xml:space="preserve">Map Unit Capacity Scoring </t>
  </si>
  <si>
    <t>Project Area Capacity Scoring</t>
  </si>
  <si>
    <r>
      <rPr>
        <b/>
        <sz val="14"/>
        <rFont val="Calibri"/>
        <family val="2"/>
        <scheme val="minor"/>
      </rPr>
      <t xml:space="preserve">Flood Attenuation Office Data </t>
    </r>
    <r>
      <rPr>
        <sz val="14"/>
        <rFont val="Calibri"/>
        <family val="2"/>
        <scheme val="minor"/>
      </rPr>
      <t xml:space="preserve">
Fill in answers directly from Office Data Sheet. </t>
    </r>
    <r>
      <rPr>
        <b/>
        <sz val="14"/>
        <rFont val="Calibri"/>
        <family val="2"/>
        <scheme val="minor"/>
      </rPr>
      <t>ENTER DATA IN YELLOW CELLS ONLY</t>
    </r>
    <r>
      <rPr>
        <sz val="14"/>
        <rFont val="Calibri"/>
        <family val="2"/>
        <scheme val="minor"/>
      </rPr>
      <t xml:space="preserve">. To delete example data use clear contents command. 
</t>
    </r>
    <r>
      <rPr>
        <b/>
        <sz val="14"/>
        <rFont val="Calibri"/>
        <family val="2"/>
        <scheme val="minor"/>
      </rPr>
      <t xml:space="preserve"> DO NOT DELETE CELLS.</t>
    </r>
    <r>
      <rPr>
        <sz val="14"/>
        <rFont val="Calibri"/>
        <family val="2"/>
        <scheme val="minor"/>
      </rPr>
      <t xml:space="preserve">  See directions booklet for additional explanations.</t>
    </r>
  </si>
  <si>
    <t>Summary scores: The scores for each ecosystem service for each map unit, project area as a whole, and landscape priority are summarized and rolled up into site scores per service and overall combined riparian ecosystem service scores.</t>
  </si>
  <si>
    <t>Veg Data:  Field data on vegetation type and extent, collected on field data sheets, are entered here for each map unit. Information on map unit size is also entered and can be gathered from site vegetation polygons recorded in GIS</t>
  </si>
  <si>
    <t>Bird_Office: Information entered into this worksheet can be gathered from the office using Google earth and other management information. It can be ground-truthed during the site visit.</t>
  </si>
  <si>
    <t>Bird Score: This worksheet picks up information from the Veg Data, Bird Office, and Bird Field worksheets to develop the service score for the bird habitat. No data entry occurs here.</t>
  </si>
  <si>
    <t>Fish Office: Information entered here can be gathered in the office (it currently entails only two questions).</t>
  </si>
  <si>
    <t>Fish Field: Data from the field data sheet is entered here and used to develop the Aquatic habitat score.</t>
  </si>
  <si>
    <t>Bird Field: Data from the bird field data sheet is entered here and used to develop the riparian bird habitat score.</t>
  </si>
  <si>
    <t>Fish Score: This worksheet picks up information frome the Veg Data, Fish Office, and Fish Field worksheets to develop the service score for Aquatic habitat. No data entry occurs here.</t>
  </si>
  <si>
    <t>Flood Office: Information entered here can be gathered from associated xcel and Google earth links to the site regarding land use and flood frequency along the Lower Mokelumne.</t>
  </si>
  <si>
    <t>Flood Field: Data from the field data sheet is entered here and used to develop the Flood Attenuation score.</t>
  </si>
  <si>
    <t>Flood Score: This worksheet picks up informatino from the Veg Data, Flood Office, and Flood Field worksheets to develop the service score for flood attenuation. No data entry occurs here.</t>
  </si>
  <si>
    <t>Veg_Parameters: This worksheet provides information to the Veg Data worksheet on species (or groups of species) - specific attributes needed to model vegetation growth over time under different soil and climatic conditions.</t>
  </si>
  <si>
    <t>Quantification Tool Overview</t>
  </si>
  <si>
    <t xml:space="preserve">This spreadsheet, along with the field data sheets, user guides, and the 'Shade-A-Lator' spreadsheet, provides the means to estimate current and potential changes in four riparian ecosystem services that can be provided by stream-side areas along the Lower Mokelumne River, California. Services are: riparian bird habitat, aquatic and fish habitat, potential for downstream flood attenuation, and riparian shade for stream thermo-regulation. Each service is scored based on (1) Landscape priority, or the potential a site location has to provide the service; and (2) Site capacity, or the extent to which site characteristics meet the full potential of the site to provide the service. </t>
  </si>
  <si>
    <t>There are 14 tabs in this spreadsheet. Those that require user data-entry are highlighted in green (there are 7). The contents of each is outlined below.</t>
  </si>
  <si>
    <t>Readme: This tab, which includes the recommended citation, acknowledgements, and this overall layout of the tool.</t>
  </si>
  <si>
    <t xml:space="preserve">Map Unit Scores </t>
  </si>
  <si>
    <t>Shade (fill in)</t>
  </si>
  <si>
    <t>Do not enter data or change the grayed cells. Do enter information from the Shade-A-Lator summary score worksheet in for the yellow colored cells. The site scores will be automatically rolled up for each service in row 19, and these translated into 'service acres' in row 22. The full suite of four riparian ecosystem service scores are rolled up for the site in cell F28.</t>
  </si>
  <si>
    <t>Combined Riparian Service Acres</t>
  </si>
  <si>
    <t>Suggested Citation and Acknowledgements</t>
  </si>
  <si>
    <t>Acknowledgements: Our sincere thanks go to Kelli McCune and Sustainable Conservation for their support and guidance in these efforts. Thank you to Nat Seavy of Point Blue Conservation Science for his important input on riparian bird ecology and the quantification tool calculations, and to Paul Adamus of Oregon State University, for his initial insights on constructing a quantification tool. We are grateful for EDF for supporting and contributing to work to develop and field test this tool thus far, as well as our excellent project partners at Environmental Incentives. We also wish to thank all of the members of the Advisory Committee, listed in Appendix A of the User Guide, for their wisdom, input and support in developing this quantification tool.</t>
  </si>
  <si>
    <r>
      <rPr>
        <b/>
        <sz val="10"/>
        <rFont val="Calibri"/>
        <family val="2"/>
      </rPr>
      <t>Directions</t>
    </r>
    <r>
      <rPr>
        <sz val="10"/>
        <rFont val="Calibri"/>
        <family val="2"/>
      </rPr>
      <t xml:space="preserve">: Only enter values into the yellow areas; there are 3 general questions and 18 for each Map Unit. Enter information for each Map Unit separately in each of the colored blocks, one block per Map Unit. For each Map Unit, either use GIS or a manual method to calculate the area of each vegetation type polygon that occurs in the Map Unit. Vegetation types are described with associated codes in the Field Data Sheets. Enter the size of each polygon in square feet; meters will be automatically calculated. Two vegetation types are allowed in order to reflect a matrix or different vegetation layers. For each type also enter the average age of the dominant plants. If you are matching a time-series with for Riparian Shade Model, only use years 1, 2, 3, 4, 5, 10, 15, 20, 30, and 50. If you are not interested in matching a time sequence with the Riparian Shade model, you do not have constraints on what years are used. You may enter as many as 25 different polygons, two vegetation types each , for each Map Unit. Do not touch the bottom-most row labeled SUMMARY in column A. The values automatically calculated in these rows will be 'collected' by the Flood Attenuation, Riparian Bird and Fish Habitat Scoring Worksheets. You may enter vegetation information for up to 10 Map Units. If you require more, use a clean version of this spreadsheet and sum the Map Unit scores as described in the User's Manual. ONLY USE ONE LINE PER VEGETATION POLYGON.     </t>
    </r>
  </si>
  <si>
    <t>Do Not Enter Anything in this Worksheet. It is reference information for other worksheets.</t>
  </si>
  <si>
    <t>Vino Pre-Restoration</t>
  </si>
  <si>
    <t>agm</t>
  </si>
  <si>
    <t>MU acres</t>
  </si>
  <si>
    <t>What percent of the channel margin area, if the map unit has any, is covered by riparian woody vegetation (trees) within ~60 ft of the channel?</t>
  </si>
  <si>
    <t>Flood observations (land owner/manager observations or other sources)</t>
  </si>
  <si>
    <t>Length of channel margin levee (where levee is &lt; 30 feet from low flow channel) on project side of river.</t>
  </si>
  <si>
    <t>Length of setback levee (where levee is &gt;30 feet from low flow channel) on project side of river.</t>
  </si>
  <si>
    <t>Record upper and lower end cross-sections on Field Map or GPS and measure direct distance in Google earth or GIS in office.</t>
  </si>
  <si>
    <t>Full Site</t>
  </si>
  <si>
    <t>MU 1</t>
  </si>
  <si>
    <t>Riparian Bird Habitat Field Data</t>
  </si>
  <si>
    <t xml:space="preserve">PA Site Capacity </t>
  </si>
  <si>
    <t>Map Unit size (acres)</t>
  </si>
  <si>
    <t xml:space="preserve">Answer 
</t>
  </si>
  <si>
    <t xml:space="preserve">Eroding banks present (at least 3 ft tall and 20 ft long)? </t>
  </si>
  <si>
    <t xml:space="preserve">Emergent herbaceous wetlands present? </t>
  </si>
  <si>
    <t xml:space="preserve">Large trees (over 30 feet tall) present? </t>
  </si>
  <si>
    <t>Are there ground disturbance activities during breeding season?</t>
  </si>
  <si>
    <t>Is there application of ground insecticides within Map Unit?</t>
  </si>
  <si>
    <t xml:space="preserve">Upper Canopy Diversity: number of different species over 15 feet tall </t>
  </si>
  <si>
    <t>Canopy Closure: Percent cover woody vegetation?</t>
  </si>
  <si>
    <t>Percent cover mugwort, hedgenettle, Santa Barbara Sedge, CA blackberry</t>
  </si>
  <si>
    <t>Percent of the banks have NOT been artificially altered?</t>
  </si>
  <si>
    <t xml:space="preserve">Fresh gravel/cobble bars present? </t>
  </si>
  <si>
    <t>Landscape Priority for Riparian Bird Habitat</t>
  </si>
  <si>
    <t>Number of Map Units :</t>
  </si>
  <si>
    <t>Project Area (acres):</t>
  </si>
  <si>
    <t>Score</t>
  </si>
  <si>
    <t>Weighted Score</t>
  </si>
  <si>
    <t>No.</t>
  </si>
  <si>
    <t>Is the floodplain directly connected to channel?</t>
  </si>
  <si>
    <t>Snags present with DBH &gt; 12 inches?</t>
  </si>
  <si>
    <t>MU 7</t>
  </si>
  <si>
    <t>What percent of the Map Unit is currently grazed?</t>
  </si>
  <si>
    <t>If running a time series, enter assessment year post restoration where restoration occurs in Year 0.</t>
  </si>
  <si>
    <t>Invasive vs. noninvasive species composition: total percent area not occupied by non-invasive (tree and herbaceous plant) species within the Map Unit. Subtracts field answer from 100 to get percent not occupied by invasive non-natives.</t>
  </si>
  <si>
    <t>Within the area of the Map Unit that is inundated at least every 3 years, are there areas that cover at least one-quarter of the Map Unit area where the elevation is at least 3 ft below the rest of the area?</t>
  </si>
  <si>
    <t>What percent of the map unit is bare soil as opposed to vegetated?</t>
  </si>
  <si>
    <t>Sum of Acres</t>
  </si>
  <si>
    <t>River Slice</t>
  </si>
  <si>
    <t xml:space="preserve">All 100 yr </t>
  </si>
  <si>
    <t>not affected</t>
  </si>
  <si>
    <t>low effect</t>
  </si>
  <si>
    <t>minor effect</t>
  </si>
  <si>
    <t>moderate effect</t>
  </si>
  <si>
    <t>high effect</t>
  </si>
  <si>
    <t>Land Use category, but degree of impact to value with flooding</t>
  </si>
  <si>
    <t>What is the river mile at the lower end of the Project Area?</t>
  </si>
  <si>
    <t>Acres downstream of Project Area, within 100 yr FEMA flood zone for Program Area:</t>
  </si>
  <si>
    <t>Nat'l lands</t>
  </si>
  <si>
    <t>Open space</t>
  </si>
  <si>
    <t>No effect</t>
  </si>
  <si>
    <t>Low effect</t>
  </si>
  <si>
    <t>Moderate effect</t>
  </si>
  <si>
    <t>High effect</t>
  </si>
  <si>
    <t xml:space="preserve">These data will be automatically entered using the FloodAttenLSLandUse tab and the River mile slice ID entered for Question 3. </t>
  </si>
  <si>
    <t>See map showing confluence area (shared flooding area) above Bear Slough and about 2 miles east of highway 5. If in Mokelumne mainstem (including below the confluence with Dry Creek) contributing area, enter 'M'; if in Dry Creek contributing area, enter 'D'.</t>
  </si>
  <si>
    <t>See KMZ file titled "Flood Analysis Layers" that accompanies the Mokelumne Benefits Quantification Tool. Record three-digit slice ID is downstream end of the Project Area; these range from 001 to 499 within the Lower Mokelumne Benefits Program Area.</t>
  </si>
  <si>
    <t>Acres</t>
  </si>
  <si>
    <t>RM distance</t>
  </si>
  <si>
    <t>Distance (feet) between the downstream end of the Project Area and the the nearest downstream area that occurs within the FEMA 100 yr flood zone and has medium value impact of reducing flood inundation (defined in indicator #5).</t>
  </si>
  <si>
    <t>Distance (feet) between the downstream end of the Project Area and the the nearest downstream area that occurs within the FEMA 100 yr flood zone and has high value impact of reducing flood inundation (defined in indicator #5).</t>
  </si>
  <si>
    <t>Nearest DS area with Med Effect (acres)</t>
  </si>
  <si>
    <t>Nearest DS area with High Effect</t>
  </si>
  <si>
    <t>Nearest DS area with Med Effect (ft/290)</t>
  </si>
  <si>
    <t>Nearest DS area with High Effect (ft/290)</t>
  </si>
  <si>
    <t>What hydrologic processes have been observed at the project site during flooding (Mark Y or N in the column to the right).</t>
  </si>
  <si>
    <t xml:space="preserve">Bankfull channel elevation at the upper, mid, and lower cross-sections in the Project Area (ft). All elevations surveyed in relation to a single bench mark, which can have a real above MSL elevation, or an arbitrary elevation of 100 feet, with a known location and permanent marker for future surveys. </t>
  </si>
  <si>
    <t>Total acres</t>
  </si>
  <si>
    <t>Distance 'as a crow flies' from upper to lower end of a floodplain that receives unimpeded flow from the river  (ft)</t>
  </si>
  <si>
    <t>Presence of salmonid species and/or listed or candidate native fish species, or federally listed aquatic Species of Special Concern (e.g. Central Valley fall Chinook salmon and Central Valley steelhead).</t>
  </si>
  <si>
    <t>FloodAttenLSLandUSE: this worksheet provides information to the Landscape Priority assessment for potential flood attenuation</t>
  </si>
  <si>
    <t>Stillwater Sciences. 2014. Quantification Tool for Riparian Benefits (Riparian Bird and Aquatic Habitat, Downstream Flood Attenuation). Prepared by Stillwater Sciences, Berkeley, California for Sustainable Conservation, San Francisco, California, as part of the Mokelumne Environmental Benefits Program.</t>
  </si>
  <si>
    <t xml:space="preserve">Site: </t>
  </si>
  <si>
    <t>Recorder:</t>
  </si>
  <si>
    <t>Fish and Aquatic Habitat Field Data</t>
  </si>
  <si>
    <t>No. MU's</t>
  </si>
  <si>
    <t>Documented presence vs. absence (list of species, life stages, and periodicity of occurrence). Record ‘1' for Yes or a '0' for No.</t>
  </si>
  <si>
    <t>Implementation of all BMPs within the area of influence. Record ‘1' for Yes or a '0' for No.</t>
  </si>
  <si>
    <t>Riparian Fish/Aquatic Habitat Project Acres</t>
  </si>
  <si>
    <t>Within the Map Unit, what percent of the banks have NOT been artificially altered (e.g., leveed, hardened, riprapped, revetment, channelization, etc, within ~60 ft of channel edge)?</t>
  </si>
  <si>
    <t>Within the area of the Map Unit that is inundated at least every 3 years, are there areas that cover at least one-quarter of the Map Unit area where the elevation is at least 3 ft below the rest of the area?  (Enter "1" for yes and "0" for no).</t>
  </si>
  <si>
    <t>Are priority invasive plant species manually removed annually without herbicides?  (Enter "1" for yes and "0" for no).</t>
  </si>
  <si>
    <t>Is there application of pesticides within the Map Unit since the last evaluation, or if not, then within the last two years?  (Enter "1" for yes and "0" for no).</t>
  </si>
  <si>
    <t>Are any stockpiles of fertilizers, manure, pesticides, or petrochemicals and fuels stored under secured roofs to prevent run-off?  (Enter "1" for yes and "0" for no).</t>
  </si>
  <si>
    <t>Are there any septic tanks and fields with the Map Unit? If so, are they pumped and maintained regularly and in proper working order?  (Enter "1" for yes and "0" for no).</t>
  </si>
  <si>
    <t>Total Map Unit Scores</t>
  </si>
  <si>
    <t>Cumlative combined MU and PA Scores</t>
  </si>
  <si>
    <t>Cumulative Area Weighted Average Scores</t>
  </si>
  <si>
    <t xml:space="preserve">Weighted Score </t>
  </si>
  <si>
    <t>No. Map Units :</t>
  </si>
  <si>
    <t>TOTAL MAP UNIT SCORES</t>
  </si>
  <si>
    <t>Map Unit Number &amp; Size (ac)</t>
  </si>
  <si>
    <t>Proximity of nearest downstream area with expected Medium Value Impact with flooding (acres and ft).</t>
  </si>
  <si>
    <t>Proximity of nearest downstream area with expected High Value Impact with flooding (acres and ft).</t>
  </si>
  <si>
    <t>Percentage of channel length in Project Area unconfined by setback levee (levee &gt;30 ft from low flow channel).</t>
  </si>
  <si>
    <t>1*1</t>
  </si>
  <si>
    <t>2. If yes to (1), enter time since restoration began here in years (this will be added to age of each species entered in tables below).</t>
  </si>
  <si>
    <t>Within the area of the Map Unit that flood frequently, is there diversity in the vegetation types (forested vs. open grassy and herbaceous patches)? (Enter "1" for yes and "0" for no).</t>
  </si>
  <si>
    <t>Presence vs. absence. Record ‘1' for Yes or a '0' for No</t>
  </si>
  <si>
    <t>Are eroding banks present (at least 3 ft tall and 20 ft long) in the Map Unit? Enter '1' for Yes or a '0'.</t>
  </si>
  <si>
    <t xml:space="preserve">Are off-channel oxbows present in Map Unit? Enter '1' for Yes or a '0' </t>
  </si>
  <si>
    <t xml:space="preserve">Are fresh gravel/cobble bars (unvegetated or sparsely vegetated) that are at least 100 square feet present in Map Unit? Enter '1' for Yes or a '0' </t>
  </si>
  <si>
    <t xml:space="preserve">Are there snags w/DBH &gt; 12 inches in the Map Unit? Enter '1' for Yes or a '0' </t>
  </si>
  <si>
    <t xml:space="preserve">Is there application of insecticides within Map Unit? Enter '1' for Yes or a '0' </t>
  </si>
  <si>
    <t>Are there ground disturbance activities during breeding season (April through August) in Map Unit? Enter '1' for Yes or a '0' .</t>
  </si>
  <si>
    <t>Percent of Map Unit supporting active floodplain. Enter as a percent (e.g. enter '50' for 50%).</t>
  </si>
  <si>
    <t>Percentage of channel margin with overhanging vegetation. Enter as a percent (e.g. enter '50' for 50%).</t>
  </si>
  <si>
    <r>
      <t xml:space="preserve">What percent of the channel margin area, if the map unit has any, is covered by riparian woody vegetation (trees) within ~60 ft of the channel? Enter as a percent (e.g. enter '50' for 50%).
 </t>
    </r>
    <r>
      <rPr>
        <b/>
        <i/>
        <sz val="10"/>
        <color theme="9" tint="-0.249977111117893"/>
        <rFont val="Calibri"/>
        <family val="2"/>
        <scheme val="minor"/>
      </rPr>
      <t/>
    </r>
  </si>
  <si>
    <r>
      <t xml:space="preserve">Of the trees within ~60 ft of the channel, what percentage have a DBH </t>
    </r>
    <r>
      <rPr>
        <sz val="10"/>
        <rFont val="Calibri"/>
        <family val="2"/>
      </rPr>
      <t>≥</t>
    </r>
    <r>
      <rPr>
        <sz val="10"/>
        <rFont val="Calibri"/>
        <family val="2"/>
        <scheme val="minor"/>
      </rPr>
      <t xml:space="preserve"> 20-24 in? Enter as a percent (e.g. enter '50' for 50%).</t>
    </r>
  </si>
  <si>
    <t>Noninvasive vs. Invasive species composition: total percent area occupied by non-invasive (woody and herbaceous plant) species within the Map Unit. Enter as a percent (e.g. enter '50' for 50%).</t>
  </si>
  <si>
    <t>Within the Map Unit, what percent of the banks have NOT been artificially altered (e.g., leveed, hardened, riprapped, revetment, channelization, etc, within ~60 ft of channel edge)?. Enter as a percent (e.g. enter '50' for 50%).</t>
  </si>
  <si>
    <t>What percent of the map unit is bare soil as opposed to vegetated? Enter as a percent (e.g. enter '50' for 50%).</t>
  </si>
  <si>
    <t>Within the area of the Map Unit that is inundated at least every 3 years, is there a combination of both woody vegetation and open grassy and herbaceous patches? (Enter "1" for yes and "0" for no).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</si>
</sst>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
    <numFmt numFmtId="166" formatCode="[$-F800]dddd\,\ mmmm\ dd\,\ yyyy"/>
    <numFmt numFmtId="167" formatCode="_(* #,##0_);_(* \(#,##0\);_(* &quot;-&quot;??_);_(@_)"/>
    <numFmt numFmtId="168" formatCode="0.00000"/>
    <numFmt numFmtId="169" formatCode="0.000"/>
    <numFmt numFmtId="170" formatCode="0.0000"/>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1"/>
      <name val="Times New Roman"/>
      <family val="1"/>
    </font>
    <font>
      <sz val="10"/>
      <name val="Arial"/>
      <family val="2"/>
    </font>
    <font>
      <b/>
      <sz val="14"/>
      <name val="Arial"/>
      <family val="2"/>
    </font>
    <font>
      <sz val="10"/>
      <name val="Arial"/>
      <family val="2"/>
    </font>
    <font>
      <sz val="9"/>
      <name val="Arial"/>
      <family val="2"/>
    </font>
    <font>
      <b/>
      <sz val="9"/>
      <name val="Arial"/>
      <family val="2"/>
    </font>
    <font>
      <b/>
      <sz val="11"/>
      <name val="Arial"/>
      <family val="2"/>
    </font>
    <font>
      <b/>
      <sz val="10"/>
      <color indexed="9"/>
      <name val="Arial"/>
      <family val="2"/>
    </font>
    <font>
      <sz val="10"/>
      <color indexed="9"/>
      <name val="Arial"/>
      <family val="2"/>
    </font>
    <font>
      <b/>
      <sz val="11"/>
      <color indexed="9"/>
      <name val="Arial"/>
      <family val="2"/>
    </font>
    <font>
      <sz val="10"/>
      <name val="Calibri"/>
      <family val="2"/>
    </font>
    <font>
      <b/>
      <i/>
      <sz val="10"/>
      <name val="Calibri"/>
      <family val="2"/>
    </font>
    <font>
      <u/>
      <sz val="10"/>
      <name val="Calibri"/>
      <family val="2"/>
    </font>
    <font>
      <u/>
      <sz val="9"/>
      <name val="Arial"/>
      <family val="2"/>
    </font>
    <font>
      <b/>
      <i/>
      <sz val="9"/>
      <name val="Arial"/>
      <family val="2"/>
    </font>
    <font>
      <b/>
      <sz val="14"/>
      <name val="Calibri"/>
      <family val="2"/>
    </font>
    <font>
      <sz val="14"/>
      <name val="Calibri"/>
      <family val="2"/>
    </font>
    <font>
      <b/>
      <sz val="10"/>
      <color indexed="10"/>
      <name val="Calibri"/>
      <family val="2"/>
    </font>
    <font>
      <u/>
      <sz val="10"/>
      <color theme="10"/>
      <name val="Arial"/>
      <family val="2"/>
    </font>
    <font>
      <b/>
      <sz val="14"/>
      <color rgb="FFFF0000"/>
      <name val="Arial"/>
      <family val="2"/>
    </font>
    <font>
      <b/>
      <sz val="10"/>
      <name val="Calibri"/>
      <family val="2"/>
      <scheme val="minor"/>
    </font>
    <font>
      <sz val="10"/>
      <name val="Calibri"/>
      <family val="2"/>
      <scheme val="minor"/>
    </font>
    <font>
      <b/>
      <sz val="11"/>
      <name val="Calibri"/>
      <family val="2"/>
      <scheme val="minor"/>
    </font>
    <font>
      <u/>
      <sz val="10"/>
      <color theme="10"/>
      <name val="Calibri"/>
      <family val="2"/>
      <scheme val="minor"/>
    </font>
    <font>
      <b/>
      <sz val="12"/>
      <name val="Calibri"/>
      <family val="2"/>
      <scheme val="minor"/>
    </font>
    <font>
      <b/>
      <sz val="9"/>
      <name val="Calibri"/>
      <family val="2"/>
      <scheme val="minor"/>
    </font>
    <font>
      <sz val="8"/>
      <name val="Calibri"/>
      <family val="2"/>
      <scheme val="minor"/>
    </font>
    <font>
      <sz val="10"/>
      <color rgb="FFFF0000"/>
      <name val="Calibri"/>
      <family val="2"/>
      <scheme val="minor"/>
    </font>
    <font>
      <b/>
      <sz val="14"/>
      <name val="Calibri"/>
      <family val="2"/>
      <scheme val="minor"/>
    </font>
    <font>
      <sz val="10"/>
      <name val="Times New Roman"/>
      <family val="1"/>
    </font>
    <font>
      <b/>
      <sz val="10"/>
      <color rgb="FFFF0000"/>
      <name val="Arial"/>
      <family val="2"/>
    </font>
    <font>
      <sz val="11"/>
      <name val="Calibri"/>
      <family val="2"/>
      <scheme val="minor"/>
    </font>
    <font>
      <u/>
      <sz val="11"/>
      <color theme="10"/>
      <name val="Calibri"/>
      <family val="2"/>
      <scheme val="minor"/>
    </font>
    <font>
      <sz val="10"/>
      <name val="Arial"/>
      <family val="2"/>
    </font>
    <font>
      <b/>
      <sz val="16"/>
      <name val="Calibri"/>
      <family val="2"/>
      <scheme val="minor"/>
    </font>
    <font>
      <sz val="16"/>
      <name val="Calibri"/>
      <family val="2"/>
      <scheme val="minor"/>
    </font>
    <font>
      <b/>
      <i/>
      <sz val="11"/>
      <name val="Calibri"/>
      <family val="2"/>
      <scheme val="minor"/>
    </font>
    <font>
      <b/>
      <sz val="11"/>
      <color rgb="FFFF0000"/>
      <name val="Calibri"/>
      <family val="2"/>
      <scheme val="minor"/>
    </font>
    <font>
      <sz val="14"/>
      <name val="Calibri"/>
      <family val="2"/>
      <scheme val="minor"/>
    </font>
    <font>
      <sz val="12"/>
      <name val="Calibri"/>
      <family val="2"/>
      <scheme val="minor"/>
    </font>
    <font>
      <sz val="9"/>
      <name val="Calibri"/>
      <family val="2"/>
      <scheme val="minor"/>
    </font>
    <font>
      <b/>
      <i/>
      <sz val="10"/>
      <name val="Calibri"/>
      <family val="2"/>
      <scheme val="minor"/>
    </font>
    <font>
      <b/>
      <i/>
      <sz val="10"/>
      <color rgb="FFFF0000"/>
      <name val="Calibri"/>
      <family val="2"/>
      <scheme val="minor"/>
    </font>
    <font>
      <sz val="8"/>
      <name val="Calibri"/>
      <family val="2"/>
    </font>
    <font>
      <b/>
      <sz val="10"/>
      <name val="Calibri"/>
      <family val="2"/>
    </font>
    <font>
      <b/>
      <sz val="10"/>
      <color theme="1"/>
      <name val="Arial"/>
      <family val="2"/>
    </font>
    <font>
      <sz val="10"/>
      <color theme="9" tint="-0.249977111117893"/>
      <name val="Arial"/>
      <family val="2"/>
    </font>
    <font>
      <sz val="10"/>
      <color theme="9" tint="-0.249977111117893"/>
      <name val="Calibri"/>
      <family val="2"/>
      <scheme val="minor"/>
    </font>
    <font>
      <b/>
      <sz val="10"/>
      <color theme="9" tint="-0.249977111117893"/>
      <name val="Arial"/>
      <family val="2"/>
    </font>
    <font>
      <b/>
      <i/>
      <sz val="10"/>
      <color theme="9" tint="-0.249977111117893"/>
      <name val="Calibri"/>
      <family val="2"/>
      <scheme val="minor"/>
    </font>
    <font>
      <sz val="10"/>
      <color theme="1"/>
      <name val="Calibri"/>
      <family val="2"/>
      <scheme val="minor"/>
    </font>
    <font>
      <sz val="10"/>
      <color rgb="FFFF0000"/>
      <name val="Arial"/>
      <family val="2"/>
    </font>
    <font>
      <b/>
      <sz val="10"/>
      <color theme="0"/>
      <name val="Arial"/>
      <family val="2"/>
    </font>
    <font>
      <sz val="10"/>
      <color theme="1"/>
      <name val="Arial"/>
      <family val="2"/>
    </font>
    <font>
      <b/>
      <sz val="10"/>
      <color theme="1"/>
      <name val="Calibri"/>
      <family val="2"/>
      <scheme val="minor"/>
    </font>
    <font>
      <b/>
      <sz val="9"/>
      <color theme="1"/>
      <name val="Calibri"/>
      <family val="2"/>
      <scheme val="minor"/>
    </font>
    <font>
      <sz val="8"/>
      <color theme="1"/>
      <name val="Calibri"/>
      <family val="2"/>
      <scheme val="minor"/>
    </font>
    <font>
      <b/>
      <sz val="10"/>
      <name val="Times New Roman"/>
      <family val="1"/>
    </font>
    <font>
      <sz val="11"/>
      <color theme="1"/>
      <name val="Times New Roman"/>
      <family val="1"/>
    </font>
    <font>
      <sz val="10"/>
      <color theme="2" tint="-0.499984740745262"/>
      <name val="Calibri"/>
      <family val="2"/>
      <scheme val="minor"/>
    </font>
    <font>
      <b/>
      <sz val="11"/>
      <color theme="2" tint="-0.499984740745262"/>
      <name val="Calibri"/>
      <family val="2"/>
      <scheme val="minor"/>
    </font>
    <font>
      <sz val="12"/>
      <name val="Arial"/>
      <family val="2"/>
    </font>
    <font>
      <b/>
      <sz val="12"/>
      <name val="Arial"/>
      <family val="2"/>
    </font>
    <font>
      <sz val="11"/>
      <name val="Arial"/>
      <family val="2"/>
    </font>
    <font>
      <sz val="14"/>
      <name val="Arial"/>
      <family val="2"/>
    </font>
    <font>
      <sz val="8"/>
      <name val="Times New Roman"/>
      <family val="1"/>
    </font>
    <font>
      <b/>
      <sz val="12"/>
      <color theme="0"/>
      <name val="Arial"/>
      <family val="2"/>
    </font>
    <font>
      <b/>
      <sz val="16"/>
      <color theme="0"/>
      <name val="Calibri"/>
      <family val="2"/>
      <scheme val="minor"/>
    </font>
    <font>
      <sz val="10"/>
      <color theme="0"/>
      <name val="Calibri"/>
      <family val="2"/>
      <scheme val="minor"/>
    </font>
    <font>
      <b/>
      <sz val="10"/>
      <color theme="6" tint="-0.499984740745262"/>
      <name val="Arial"/>
      <family val="2"/>
    </font>
    <font>
      <b/>
      <sz val="10"/>
      <color rgb="FF0070C0"/>
      <name val="Arial"/>
      <family val="2"/>
    </font>
    <font>
      <sz val="10"/>
      <color rgb="FF0070C0"/>
      <name val="Arial"/>
      <family val="2"/>
    </font>
  </fonts>
  <fills count="42">
    <fill>
      <patternFill patternType="none"/>
    </fill>
    <fill>
      <patternFill patternType="gray125"/>
    </fill>
    <fill>
      <patternFill patternType="solid">
        <fgColor indexed="22"/>
        <bgColor indexed="64"/>
      </patternFill>
    </fill>
    <fill>
      <patternFill patternType="solid">
        <fgColor indexed="57"/>
        <bgColor indexed="64"/>
      </patternFill>
    </fill>
    <fill>
      <patternFill patternType="solid">
        <fgColor indexed="43"/>
        <bgColor indexed="64"/>
      </patternFill>
    </fill>
    <fill>
      <patternFill patternType="solid">
        <fgColor indexed="42"/>
        <bgColor indexed="64"/>
      </patternFill>
    </fill>
    <fill>
      <patternFill patternType="solid">
        <fgColor indexed="12"/>
        <bgColor indexed="64"/>
      </patternFill>
    </fill>
    <fill>
      <patternFill patternType="solid">
        <fgColor indexed="15"/>
        <bgColor indexed="64"/>
      </patternFill>
    </fill>
    <fill>
      <patternFill patternType="solid">
        <fgColor indexed="41"/>
        <bgColor indexed="64"/>
      </patternFill>
    </fill>
    <fill>
      <patternFill patternType="solid">
        <fgColor indexed="36"/>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66FFCC"/>
        <bgColor indexed="64"/>
      </patternFill>
    </fill>
    <fill>
      <patternFill patternType="solid">
        <fgColor rgb="FFFFFF9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rgb="FFFF9999"/>
        <bgColor indexed="64"/>
      </patternFill>
    </fill>
    <fill>
      <patternFill patternType="solid">
        <fgColor rgb="FF00B050"/>
        <bgColor indexed="64"/>
      </patternFill>
    </fill>
    <fill>
      <patternFill patternType="solid">
        <fgColor theme="8" tint="0.59999389629810485"/>
        <bgColor indexed="64"/>
      </patternFill>
    </fill>
    <fill>
      <patternFill patternType="solid">
        <fgColor rgb="FF7030A0"/>
        <bgColor indexed="64"/>
      </patternFill>
    </fill>
    <fill>
      <patternFill patternType="solid">
        <fgColor rgb="FFFF99CC"/>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7">
    <xf numFmtId="166" fontId="0" fillId="0" borderId="0"/>
    <xf numFmtId="166" fontId="30" fillId="0" borderId="0" applyNumberFormat="0" applyFill="0" applyBorder="0" applyAlignment="0" applyProtection="0"/>
    <xf numFmtId="166" fontId="9" fillId="0" borderId="0"/>
    <xf numFmtId="9" fontId="9" fillId="0" borderId="0" applyFont="0" applyFill="0" applyBorder="0" applyAlignment="0" applyProtection="0"/>
    <xf numFmtId="43" fontId="45" fillId="0" borderId="0" applyFont="0" applyFill="0" applyBorder="0" applyAlignment="0" applyProtection="0"/>
    <xf numFmtId="166" fontId="8" fillId="0" borderId="0"/>
    <xf numFmtId="166" fontId="7" fillId="0" borderId="0"/>
    <xf numFmtId="166" fontId="6" fillId="0" borderId="0"/>
    <xf numFmtId="43" fontId="9"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1" fillId="0" borderId="0"/>
    <xf numFmtId="166" fontId="1" fillId="0" borderId="0"/>
    <xf numFmtId="166" fontId="1" fillId="0" borderId="0"/>
    <xf numFmtId="166" fontId="1" fillId="0" borderId="0"/>
    <xf numFmtId="166" fontId="1" fillId="0" borderId="0"/>
    <xf numFmtId="166" fontId="1" fillId="0" borderId="0"/>
  </cellStyleXfs>
  <cellXfs count="1354">
    <xf numFmtId="166" fontId="0" fillId="0" borderId="0" xfId="0"/>
    <xf numFmtId="166" fontId="0" fillId="0" borderId="0" xfId="0" applyAlignment="1">
      <alignment wrapText="1"/>
    </xf>
    <xf numFmtId="166" fontId="11" fillId="0" borderId="0" xfId="0" applyFont="1" applyAlignment="1">
      <alignment wrapText="1"/>
    </xf>
    <xf numFmtId="166" fontId="0" fillId="0" borderId="0" xfId="0" applyFill="1"/>
    <xf numFmtId="166" fontId="0" fillId="0" borderId="0" xfId="0" applyFill="1" applyAlignment="1">
      <alignment wrapText="1"/>
    </xf>
    <xf numFmtId="166" fontId="13" fillId="0" borderId="0" xfId="0" applyFont="1"/>
    <xf numFmtId="166" fontId="10" fillId="3" borderId="0" xfId="0" applyFont="1" applyFill="1" applyAlignment="1">
      <alignment textRotation="90" wrapText="1"/>
    </xf>
    <xf numFmtId="166" fontId="11" fillId="0" borderId="0" xfId="0" applyFont="1" applyFill="1" applyAlignment="1">
      <alignment wrapText="1"/>
    </xf>
    <xf numFmtId="166" fontId="10" fillId="2" borderId="0" xfId="0" applyFont="1" applyFill="1" applyBorder="1" applyAlignment="1">
      <alignment textRotation="90" wrapText="1"/>
    </xf>
    <xf numFmtId="166" fontId="13" fillId="0" borderId="0" xfId="0" applyFont="1" applyFill="1"/>
    <xf numFmtId="166" fontId="11" fillId="0" borderId="0" xfId="0" applyFont="1" applyFill="1"/>
    <xf numFmtId="2" fontId="0" fillId="0" borderId="0" xfId="0" applyNumberFormat="1"/>
    <xf numFmtId="166" fontId="15" fillId="0" borderId="0" xfId="0" applyFont="1" applyFill="1" applyAlignment="1">
      <alignment wrapText="1"/>
    </xf>
    <xf numFmtId="166" fontId="15" fillId="0" borderId="0" xfId="0" applyFont="1" applyFill="1"/>
    <xf numFmtId="166" fontId="13" fillId="0" borderId="0" xfId="0" applyFont="1" applyFill="1" applyAlignment="1">
      <alignment wrapText="1"/>
    </xf>
    <xf numFmtId="166" fontId="13" fillId="0" borderId="0" xfId="0" applyFont="1" applyFill="1" applyAlignment="1">
      <alignment horizontal="left" vertical="top"/>
    </xf>
    <xf numFmtId="166" fontId="0" fillId="0" borderId="0" xfId="0" applyAlignment="1">
      <alignment horizontal="center" wrapText="1"/>
    </xf>
    <xf numFmtId="1" fontId="0" fillId="0" borderId="0" xfId="0" applyNumberFormat="1"/>
    <xf numFmtId="166" fontId="0" fillId="9" borderId="8" xfId="0" applyFill="1" applyBorder="1"/>
    <xf numFmtId="166" fontId="9" fillId="0" borderId="0" xfId="0" applyFont="1" applyFill="1"/>
    <xf numFmtId="166" fontId="15" fillId="0" borderId="0" xfId="0" applyFont="1" applyFill="1" applyBorder="1" applyAlignment="1">
      <alignment vertical="top" wrapText="1"/>
    </xf>
    <xf numFmtId="166" fontId="15" fillId="0" borderId="0" xfId="0" applyFont="1" applyFill="1" applyBorder="1"/>
    <xf numFmtId="166" fontId="13" fillId="0" borderId="0" xfId="0" applyFont="1" applyFill="1" applyBorder="1" applyAlignment="1">
      <alignment wrapText="1"/>
    </xf>
    <xf numFmtId="15" fontId="11" fillId="0" borderId="0" xfId="0" applyNumberFormat="1" applyFont="1" applyFill="1"/>
    <xf numFmtId="166" fontId="11" fillId="0" borderId="0" xfId="0" applyFont="1" applyFill="1" applyAlignment="1"/>
    <xf numFmtId="166" fontId="9" fillId="0" borderId="0" xfId="0" applyFont="1" applyFill="1" applyBorder="1"/>
    <xf numFmtId="166" fontId="9" fillId="0" borderId="0" xfId="2" applyFont="1" applyFill="1" applyBorder="1"/>
    <xf numFmtId="166" fontId="32" fillId="0" borderId="0" xfId="0" applyFont="1" applyFill="1" applyAlignment="1">
      <alignment horizontal="right"/>
    </xf>
    <xf numFmtId="14" fontId="32" fillId="0" borderId="4" xfId="0" applyNumberFormat="1" applyFont="1" applyFill="1" applyBorder="1" applyAlignment="1"/>
    <xf numFmtId="166" fontId="33" fillId="0" borderId="0" xfId="0" applyFont="1" applyFill="1"/>
    <xf numFmtId="166" fontId="32" fillId="0" borderId="0" xfId="0" applyFont="1" applyFill="1" applyAlignment="1">
      <alignment horizontal="left"/>
    </xf>
    <xf numFmtId="166" fontId="32" fillId="0" borderId="4" xfId="0" applyFont="1" applyFill="1" applyBorder="1" applyAlignment="1"/>
    <xf numFmtId="166" fontId="32" fillId="0" borderId="12" xfId="0" applyFont="1" applyFill="1" applyBorder="1" applyAlignment="1">
      <alignment horizontal="center" wrapText="1"/>
    </xf>
    <xf numFmtId="166" fontId="32" fillId="0" borderId="12" xfId="0" applyFont="1" applyFill="1" applyBorder="1" applyAlignment="1">
      <alignment horizontal="center"/>
    </xf>
    <xf numFmtId="166" fontId="33" fillId="0" borderId="0" xfId="0" applyFont="1" applyFill="1" applyAlignment="1">
      <alignment wrapText="1"/>
    </xf>
    <xf numFmtId="166" fontId="33" fillId="0" borderId="0" xfId="0" applyFont="1" applyFill="1" applyAlignment="1">
      <alignment horizontal="right"/>
    </xf>
    <xf numFmtId="166" fontId="34" fillId="0" borderId="0" xfId="0" applyFont="1" applyFill="1"/>
    <xf numFmtId="166" fontId="33" fillId="0" borderId="0" xfId="0" applyFont="1" applyFill="1" applyAlignment="1">
      <alignment horizontal="center"/>
    </xf>
    <xf numFmtId="166" fontId="32" fillId="0" borderId="10" xfId="0" applyFont="1" applyFill="1" applyBorder="1" applyAlignment="1">
      <alignment horizontal="center" wrapText="1"/>
    </xf>
    <xf numFmtId="166" fontId="35" fillId="0" borderId="0" xfId="1" applyFont="1" applyFill="1"/>
    <xf numFmtId="166" fontId="33" fillId="0" borderId="16" xfId="0" applyFont="1" applyFill="1" applyBorder="1" applyAlignment="1">
      <alignment vertical="center" wrapText="1"/>
    </xf>
    <xf numFmtId="166" fontId="32" fillId="0" borderId="9" xfId="0" applyFont="1" applyFill="1" applyBorder="1" applyAlignment="1"/>
    <xf numFmtId="166" fontId="36" fillId="0" borderId="0" xfId="0" applyFont="1" applyFill="1" applyBorder="1" applyAlignment="1">
      <alignment wrapText="1"/>
    </xf>
    <xf numFmtId="15" fontId="32" fillId="0" borderId="0" xfId="0" applyNumberFormat="1" applyFont="1" applyFill="1" applyBorder="1"/>
    <xf numFmtId="166" fontId="33" fillId="0" borderId="0" xfId="0" applyFont="1" applyFill="1" applyBorder="1"/>
    <xf numFmtId="166" fontId="32" fillId="0" borderId="0" xfId="0" applyFont="1" applyFill="1" applyBorder="1" applyAlignment="1"/>
    <xf numFmtId="166" fontId="33" fillId="0" borderId="4" xfId="0" applyFont="1" applyFill="1" applyBorder="1" applyAlignment="1"/>
    <xf numFmtId="166" fontId="32" fillId="0" borderId="0" xfId="0" applyFont="1" applyFill="1" applyBorder="1" applyAlignment="1">
      <alignment horizontal="right"/>
    </xf>
    <xf numFmtId="166" fontId="33" fillId="0" borderId="0" xfId="0" applyFont="1"/>
    <xf numFmtId="1" fontId="33" fillId="0" borderId="0" xfId="0" applyNumberFormat="1" applyFont="1"/>
    <xf numFmtId="166" fontId="33" fillId="12" borderId="0" xfId="0" applyFont="1" applyFill="1"/>
    <xf numFmtId="1" fontId="33" fillId="12" borderId="0" xfId="0" applyNumberFormat="1" applyFont="1" applyFill="1"/>
    <xf numFmtId="166" fontId="11" fillId="0" borderId="0" xfId="0" applyFont="1"/>
    <xf numFmtId="166" fontId="0" fillId="0" borderId="0" xfId="0" applyFill="1" applyAlignment="1">
      <alignment horizontal="left" vertical="center"/>
    </xf>
    <xf numFmtId="2" fontId="0" fillId="0" borderId="0" xfId="0" applyNumberFormat="1" applyFill="1" applyAlignment="1">
      <alignment horizontal="left"/>
    </xf>
    <xf numFmtId="166" fontId="33" fillId="0" borderId="10" xfId="0" applyFont="1" applyFill="1" applyBorder="1" applyAlignment="1">
      <alignment horizontal="left" vertical="center" wrapText="1"/>
    </xf>
    <xf numFmtId="166" fontId="33" fillId="0" borderId="17" xfId="0" applyFont="1" applyFill="1" applyBorder="1" applyAlignment="1">
      <alignment vertical="center" wrapText="1"/>
    </xf>
    <xf numFmtId="166" fontId="9" fillId="0" borderId="0" xfId="0" applyFont="1" applyFill="1" applyBorder="1" applyAlignment="1">
      <alignment vertical="top" wrapText="1"/>
    </xf>
    <xf numFmtId="166" fontId="9" fillId="0" borderId="0" xfId="0" applyFont="1" applyFill="1" applyBorder="1" applyAlignment="1">
      <alignment wrapText="1"/>
    </xf>
    <xf numFmtId="166" fontId="9" fillId="0" borderId="0" xfId="0" applyFont="1" applyFill="1" applyAlignment="1">
      <alignment wrapText="1"/>
    </xf>
    <xf numFmtId="166" fontId="32" fillId="20" borderId="12" xfId="0" applyFont="1" applyFill="1" applyBorder="1" applyAlignment="1">
      <alignment horizontal="center" vertical="center" wrapText="1"/>
    </xf>
    <xf numFmtId="166" fontId="32" fillId="20" borderId="12" xfId="0" applyFont="1" applyFill="1" applyBorder="1" applyAlignment="1">
      <alignment horizontal="center" vertical="center"/>
    </xf>
    <xf numFmtId="166" fontId="9" fillId="0" borderId="0" xfId="0" applyFont="1" applyFill="1" applyAlignment="1">
      <alignment horizontal="left" vertical="top"/>
    </xf>
    <xf numFmtId="166" fontId="9" fillId="8" borderId="12" xfId="0" applyFont="1" applyFill="1" applyBorder="1" applyAlignment="1">
      <alignment horizontal="left" vertical="center" wrapText="1"/>
    </xf>
    <xf numFmtId="166" fontId="9" fillId="6" borderId="0" xfId="0" applyFont="1" applyFill="1" applyAlignment="1">
      <alignment textRotation="90" wrapText="1"/>
    </xf>
    <xf numFmtId="166" fontId="11" fillId="23" borderId="0" xfId="0" applyFont="1" applyFill="1" applyAlignment="1">
      <alignment wrapText="1"/>
    </xf>
    <xf numFmtId="166" fontId="11" fillId="23" borderId="0" xfId="0" applyFont="1" applyFill="1" applyAlignment="1">
      <alignment horizontal="center" vertical="center" wrapText="1"/>
    </xf>
    <xf numFmtId="2" fontId="11" fillId="23" borderId="0" xfId="0" applyNumberFormat="1" applyFont="1" applyFill="1" applyAlignment="1">
      <alignment horizontal="center" vertical="center" wrapText="1"/>
    </xf>
    <xf numFmtId="166" fontId="9" fillId="21" borderId="12" xfId="0" applyFont="1" applyFill="1" applyBorder="1" applyAlignment="1">
      <alignment vertical="center" wrapText="1"/>
    </xf>
    <xf numFmtId="166" fontId="9" fillId="21" borderId="12" xfId="0" applyFont="1" applyFill="1" applyBorder="1" applyAlignment="1">
      <alignment horizontal="left" vertical="center" wrapText="1"/>
    </xf>
    <xf numFmtId="166" fontId="9" fillId="3" borderId="0" xfId="0" applyFont="1" applyFill="1" applyAlignment="1">
      <alignment vertical="center" textRotation="90" wrapText="1"/>
    </xf>
    <xf numFmtId="166" fontId="9" fillId="24" borderId="21" xfId="0" applyFont="1" applyFill="1" applyBorder="1"/>
    <xf numFmtId="166" fontId="11" fillId="24" borderId="21" xfId="0" applyFont="1" applyFill="1" applyBorder="1" applyAlignment="1">
      <alignment horizontal="center" vertical="center"/>
    </xf>
    <xf numFmtId="165" fontId="9" fillId="21" borderId="12" xfId="0" applyNumberFormat="1" applyFont="1" applyFill="1" applyBorder="1" applyAlignment="1">
      <alignment horizontal="center" vertical="center"/>
    </xf>
    <xf numFmtId="165" fontId="11" fillId="21" borderId="13" xfId="0" applyNumberFormat="1" applyFont="1" applyFill="1" applyBorder="1" applyAlignment="1">
      <alignment horizontal="center" vertical="center"/>
    </xf>
    <xf numFmtId="166" fontId="9" fillId="26" borderId="12" xfId="0" applyFont="1" applyFill="1" applyBorder="1" applyAlignment="1">
      <alignment horizontal="left" vertical="center" wrapText="1"/>
    </xf>
    <xf numFmtId="165" fontId="9" fillId="26" borderId="12" xfId="0" applyNumberFormat="1" applyFont="1" applyFill="1" applyBorder="1" applyAlignment="1">
      <alignment horizontal="center" vertical="center"/>
    </xf>
    <xf numFmtId="166" fontId="9" fillId="0" borderId="0" xfId="0" applyFont="1"/>
    <xf numFmtId="166" fontId="9" fillId="0" borderId="0" xfId="0" applyFont="1" applyAlignment="1">
      <alignment horizontal="center" vertical="center"/>
    </xf>
    <xf numFmtId="166" fontId="9" fillId="0" borderId="0" xfId="0" applyFont="1" applyAlignment="1">
      <alignment wrapText="1"/>
    </xf>
    <xf numFmtId="166" fontId="43" fillId="0" borderId="0" xfId="0" applyFont="1" applyFill="1"/>
    <xf numFmtId="166" fontId="43" fillId="0" borderId="0" xfId="0" applyFont="1" applyFill="1" applyBorder="1" applyAlignment="1">
      <alignment horizontal="center"/>
    </xf>
    <xf numFmtId="166" fontId="43" fillId="0" borderId="0" xfId="0" applyFont="1" applyFill="1" applyBorder="1"/>
    <xf numFmtId="166" fontId="34" fillId="0" borderId="0" xfId="0" applyFont="1" applyFill="1" applyBorder="1" applyAlignment="1"/>
    <xf numFmtId="166" fontId="43" fillId="0" borderId="0" xfId="0" applyFont="1" applyFill="1" applyAlignment="1">
      <alignment wrapText="1"/>
    </xf>
    <xf numFmtId="166" fontId="44" fillId="0" borderId="0" xfId="1" applyFont="1" applyFill="1" applyAlignment="1">
      <alignment horizontal="left" vertical="top"/>
    </xf>
    <xf numFmtId="166" fontId="34" fillId="0" borderId="17" xfId="0" applyFont="1" applyFill="1" applyBorder="1" applyAlignment="1">
      <alignment horizontal="center" wrapText="1"/>
    </xf>
    <xf numFmtId="166" fontId="44" fillId="0" borderId="0" xfId="1" applyFont="1" applyFill="1" applyBorder="1" applyAlignment="1">
      <alignment horizontal="left" vertical="top" wrapText="1"/>
    </xf>
    <xf numFmtId="166" fontId="44" fillId="0" borderId="0" xfId="1" applyFont="1"/>
    <xf numFmtId="166" fontId="43" fillId="0" borderId="0" xfId="0" applyFont="1" applyFill="1" applyBorder="1" applyAlignment="1">
      <alignment wrapText="1"/>
    </xf>
    <xf numFmtId="166" fontId="33" fillId="0" borderId="0" xfId="0" applyFont="1" applyAlignment="1">
      <alignment vertical="center" wrapText="1"/>
    </xf>
    <xf numFmtId="2" fontId="33" fillId="12" borderId="0" xfId="0" applyNumberFormat="1" applyFont="1" applyFill="1"/>
    <xf numFmtId="166" fontId="34" fillId="0" borderId="0" xfId="0" applyFont="1" applyFill="1" applyBorder="1"/>
    <xf numFmtId="166" fontId="43" fillId="0" borderId="0" xfId="0" applyFont="1" applyFill="1" applyAlignment="1"/>
    <xf numFmtId="166" fontId="43" fillId="0" borderId="0" xfId="0" applyFont="1" applyFill="1" applyBorder="1" applyAlignment="1">
      <alignment horizontal="left" vertical="center"/>
    </xf>
    <xf numFmtId="166" fontId="43" fillId="0" borderId="0" xfId="0" applyFont="1" applyFill="1" applyBorder="1" applyAlignment="1">
      <alignment vertical="center" wrapText="1"/>
    </xf>
    <xf numFmtId="166" fontId="32" fillId="0" borderId="0" xfId="0" applyFont="1" applyFill="1" applyAlignment="1">
      <alignment wrapText="1"/>
    </xf>
    <xf numFmtId="166" fontId="33" fillId="0" borderId="0" xfId="0" applyFont="1" applyBorder="1"/>
    <xf numFmtId="166" fontId="43" fillId="0" borderId="0" xfId="0" applyFont="1" applyFill="1" applyBorder="1" applyAlignment="1">
      <alignment horizontal="center" vertical="center" textRotation="90" wrapText="1"/>
    </xf>
    <xf numFmtId="166" fontId="48" fillId="0" borderId="0" xfId="0" applyFont="1" applyFill="1" applyBorder="1" applyAlignment="1">
      <alignment vertical="center" wrapText="1"/>
    </xf>
    <xf numFmtId="166" fontId="43" fillId="30" borderId="51" xfId="0" applyFont="1" applyFill="1" applyBorder="1" applyAlignment="1">
      <alignment vertical="center" wrapText="1"/>
    </xf>
    <xf numFmtId="166" fontId="43" fillId="30" borderId="12" xfId="0" applyFont="1" applyFill="1" applyBorder="1" applyAlignment="1">
      <alignment vertical="center" wrapText="1"/>
    </xf>
    <xf numFmtId="166" fontId="48" fillId="30" borderId="54" xfId="0" applyFont="1" applyFill="1" applyBorder="1" applyAlignment="1">
      <alignment vertical="center" wrapText="1"/>
    </xf>
    <xf numFmtId="166" fontId="43" fillId="0" borderId="0" xfId="0" applyFont="1" applyFill="1" applyBorder="1" applyAlignment="1">
      <alignment vertical="center" textRotation="90" wrapText="1"/>
    </xf>
    <xf numFmtId="166" fontId="33" fillId="0" borderId="0" xfId="0" applyFont="1" applyFill="1" applyBorder="1" applyAlignment="1">
      <alignment horizontal="center" vertical="center"/>
    </xf>
    <xf numFmtId="166" fontId="33" fillId="0" borderId="0" xfId="0" applyFont="1" applyFill="1" applyBorder="1" applyAlignment="1">
      <alignment vertical="center"/>
    </xf>
    <xf numFmtId="166" fontId="43" fillId="0" borderId="0" xfId="0" applyFont="1" applyFill="1" applyBorder="1" applyAlignment="1">
      <alignment vertical="center" textRotation="90"/>
    </xf>
    <xf numFmtId="166" fontId="33" fillId="0" borderId="0" xfId="0" applyFont="1" applyFill="1" applyBorder="1" applyAlignment="1">
      <alignment horizontal="left" vertical="center"/>
    </xf>
    <xf numFmtId="166" fontId="11" fillId="0" borderId="0" xfId="0" applyFont="1" applyFill="1" applyBorder="1" applyAlignment="1">
      <alignment wrapText="1"/>
    </xf>
    <xf numFmtId="166" fontId="9" fillId="0" borderId="0" xfId="0" applyFont="1" applyFill="1" applyBorder="1" applyAlignment="1">
      <alignment vertical="center"/>
    </xf>
    <xf numFmtId="9" fontId="9" fillId="0" borderId="0" xfId="0" applyNumberFormat="1" applyFont="1" applyFill="1" applyBorder="1" applyAlignment="1">
      <alignment vertical="center"/>
    </xf>
    <xf numFmtId="10" fontId="9" fillId="0" borderId="0" xfId="0" applyNumberFormat="1" applyFont="1" applyFill="1" applyBorder="1" applyAlignment="1">
      <alignment vertical="center"/>
    </xf>
    <xf numFmtId="166" fontId="40" fillId="0" borderId="0" xfId="0" applyFont="1" applyFill="1" applyBorder="1" applyAlignment="1">
      <alignment horizontal="center" vertical="center" textRotation="90" wrapText="1"/>
    </xf>
    <xf numFmtId="1" fontId="33" fillId="13" borderId="0" xfId="0" applyNumberFormat="1" applyFont="1" applyFill="1" applyBorder="1" applyAlignment="1">
      <alignment horizontal="center"/>
    </xf>
    <xf numFmtId="166" fontId="55" fillId="0" borderId="0" xfId="0" applyFont="1" applyAlignment="1">
      <alignment horizontal="left" vertical="center" wrapText="1"/>
    </xf>
    <xf numFmtId="166" fontId="32" fillId="0" borderId="0" xfId="0" applyFont="1" applyFill="1" applyBorder="1"/>
    <xf numFmtId="166" fontId="32" fillId="0" borderId="0" xfId="0" applyFont="1"/>
    <xf numFmtId="1" fontId="32" fillId="0" borderId="0" xfId="0" applyNumberFormat="1" applyFont="1"/>
    <xf numFmtId="164" fontId="33" fillId="0" borderId="0" xfId="0" applyNumberFormat="1" applyFont="1" applyFill="1"/>
    <xf numFmtId="166" fontId="33" fillId="13" borderId="0" xfId="0" applyFont="1" applyFill="1" applyBorder="1"/>
    <xf numFmtId="1" fontId="33" fillId="13" borderId="0" xfId="0" applyNumberFormat="1" applyFont="1" applyFill="1" applyBorder="1"/>
    <xf numFmtId="166" fontId="13" fillId="13" borderId="0" xfId="0" applyFont="1" applyFill="1" applyBorder="1"/>
    <xf numFmtId="14" fontId="32" fillId="0" borderId="0" xfId="0" applyNumberFormat="1" applyFont="1" applyFill="1" applyAlignment="1">
      <alignment vertical="center"/>
    </xf>
    <xf numFmtId="9" fontId="9" fillId="0" borderId="0" xfId="0" applyNumberFormat="1" applyFont="1" applyAlignment="1">
      <alignment horizontal="right"/>
    </xf>
    <xf numFmtId="43" fontId="0" fillId="0" borderId="0" xfId="0" applyNumberFormat="1" applyAlignment="1">
      <alignment horizontal="right"/>
    </xf>
    <xf numFmtId="9" fontId="0" fillId="0" borderId="0" xfId="3" applyFont="1" applyAlignment="1">
      <alignment horizontal="right"/>
    </xf>
    <xf numFmtId="166" fontId="55" fillId="0" borderId="0" xfId="0" applyFont="1" applyAlignment="1">
      <alignment vertical="center" wrapText="1"/>
    </xf>
    <xf numFmtId="166" fontId="33" fillId="0" borderId="0" xfId="0" applyFont="1" applyBorder="1" applyAlignment="1"/>
    <xf numFmtId="166" fontId="13" fillId="0" borderId="0" xfId="0" applyFont="1" applyFill="1" applyBorder="1"/>
    <xf numFmtId="166" fontId="13" fillId="0" borderId="0" xfId="0" applyFont="1" applyBorder="1"/>
    <xf numFmtId="1" fontId="33" fillId="10" borderId="4" xfId="0" applyNumberFormat="1" applyFont="1" applyFill="1" applyBorder="1" applyAlignment="1">
      <alignment horizontal="center"/>
    </xf>
    <xf numFmtId="1" fontId="33" fillId="10" borderId="9" xfId="0" applyNumberFormat="1" applyFont="1" applyFill="1" applyBorder="1" applyAlignment="1">
      <alignment horizontal="center"/>
    </xf>
    <xf numFmtId="166" fontId="40" fillId="0" borderId="0" xfId="7" applyFont="1" applyFill="1" applyBorder="1" applyAlignment="1">
      <alignment horizontal="right"/>
    </xf>
    <xf numFmtId="166" fontId="50" fillId="0" borderId="0" xfId="7" applyFont="1" applyFill="1" applyBorder="1"/>
    <xf numFmtId="166" fontId="40" fillId="0" borderId="0" xfId="7" applyFont="1" applyFill="1" applyBorder="1" applyAlignment="1">
      <alignment horizontal="left"/>
    </xf>
    <xf numFmtId="166" fontId="9" fillId="0" borderId="0" xfId="7" applyFont="1" applyFill="1" applyBorder="1" applyAlignment="1">
      <alignment horizontal="center" vertical="center"/>
    </xf>
    <xf numFmtId="166" fontId="9" fillId="0" borderId="0" xfId="7" applyFont="1" applyFill="1"/>
    <xf numFmtId="166" fontId="33" fillId="0" borderId="0" xfId="7" applyFont="1" applyFill="1" applyAlignment="1"/>
    <xf numFmtId="166" fontId="33" fillId="0" borderId="0" xfId="7" applyFont="1" applyFill="1"/>
    <xf numFmtId="166" fontId="32" fillId="0" borderId="0" xfId="7" applyFont="1" applyFill="1" applyAlignment="1">
      <alignment wrapText="1"/>
    </xf>
    <xf numFmtId="166" fontId="33" fillId="0" borderId="0" xfId="7" applyFont="1" applyFill="1" applyAlignment="1">
      <alignment horizontal="left" vertical="top"/>
    </xf>
    <xf numFmtId="166" fontId="33" fillId="0" borderId="0" xfId="7" applyFont="1" applyFill="1" applyAlignment="1">
      <alignment horizontal="center" vertical="center"/>
    </xf>
    <xf numFmtId="166" fontId="11" fillId="0" borderId="0" xfId="0" applyFont="1" applyFill="1" applyBorder="1"/>
    <xf numFmtId="165" fontId="9" fillId="37" borderId="12" xfId="0" applyNumberFormat="1" applyFont="1" applyFill="1" applyBorder="1" applyAlignment="1">
      <alignment horizontal="center" vertical="center"/>
    </xf>
    <xf numFmtId="165" fontId="11" fillId="37" borderId="12" xfId="0" applyNumberFormat="1" applyFont="1" applyFill="1" applyBorder="1" applyAlignment="1">
      <alignment horizontal="center" vertical="center"/>
    </xf>
    <xf numFmtId="166" fontId="11" fillId="0" borderId="0" xfId="0" applyFont="1" applyFill="1" applyBorder="1" applyAlignment="1">
      <alignment vertical="center"/>
    </xf>
    <xf numFmtId="166" fontId="9" fillId="38" borderId="25" xfId="0" applyFont="1" applyFill="1" applyBorder="1"/>
    <xf numFmtId="165" fontId="19" fillId="38" borderId="7" xfId="0" applyNumberFormat="1" applyFont="1" applyFill="1" applyBorder="1" applyAlignment="1">
      <alignment horizontal="center" vertical="center"/>
    </xf>
    <xf numFmtId="166" fontId="60" fillId="0" borderId="0" xfId="0" applyFont="1" applyFill="1" applyAlignment="1">
      <alignment wrapText="1"/>
    </xf>
    <xf numFmtId="2" fontId="33" fillId="0" borderId="0" xfId="0" applyNumberFormat="1" applyFont="1" applyFill="1" applyBorder="1" applyAlignment="1">
      <alignment horizontal="center" vertical="center"/>
    </xf>
    <xf numFmtId="2" fontId="64" fillId="6" borderId="0" xfId="0" applyNumberFormat="1" applyFont="1" applyFill="1" applyAlignment="1">
      <alignment horizontal="center" vertical="center"/>
    </xf>
    <xf numFmtId="166" fontId="33" fillId="11" borderId="12" xfId="0" applyFont="1" applyFill="1" applyBorder="1" applyAlignment="1">
      <alignment horizontal="left" vertical="center" wrapText="1"/>
    </xf>
    <xf numFmtId="166" fontId="33" fillId="0" borderId="12" xfId="0" applyFont="1" applyFill="1" applyBorder="1" applyAlignment="1">
      <alignment horizontal="left" vertical="center" wrapText="1"/>
    </xf>
    <xf numFmtId="166" fontId="13" fillId="0" borderId="0" xfId="0" applyFont="1" applyFill="1" applyAlignment="1">
      <alignment horizontal="left" vertical="center"/>
    </xf>
    <xf numFmtId="166" fontId="33" fillId="0" borderId="1" xfId="0" applyFont="1" applyFill="1" applyBorder="1" applyAlignment="1">
      <alignment horizontal="left" vertical="center"/>
    </xf>
    <xf numFmtId="166" fontId="33" fillId="0" borderId="30" xfId="0" applyFont="1" applyFill="1" applyBorder="1" applyAlignment="1">
      <alignment horizontal="left" vertical="center"/>
    </xf>
    <xf numFmtId="166" fontId="33" fillId="0" borderId="6" xfId="0" applyFont="1" applyFill="1" applyBorder="1" applyAlignment="1">
      <alignment horizontal="center" vertical="center" wrapText="1"/>
    </xf>
    <xf numFmtId="166" fontId="33" fillId="0" borderId="17" xfId="0" applyFont="1" applyFill="1" applyBorder="1" applyAlignment="1">
      <alignment horizontal="left" vertical="center"/>
    </xf>
    <xf numFmtId="166" fontId="33" fillId="0" borderId="10" xfId="0" applyFont="1" applyFill="1" applyBorder="1" applyAlignment="1">
      <alignment vertical="center" wrapText="1"/>
    </xf>
    <xf numFmtId="166" fontId="33" fillId="0" borderId="11" xfId="0" applyFont="1" applyFill="1" applyBorder="1" applyAlignment="1">
      <alignment vertical="center" wrapText="1"/>
    </xf>
    <xf numFmtId="166" fontId="32" fillId="0" borderId="8" xfId="0" applyFont="1" applyFill="1" applyBorder="1" applyAlignment="1">
      <alignment horizontal="left" vertical="center" wrapText="1"/>
    </xf>
    <xf numFmtId="166" fontId="33" fillId="0" borderId="28" xfId="0" applyFont="1" applyFill="1" applyBorder="1" applyAlignment="1">
      <alignment horizontal="left" vertical="center" wrapText="1"/>
    </xf>
    <xf numFmtId="166" fontId="33" fillId="0" borderId="42" xfId="0" applyFont="1" applyFill="1" applyBorder="1" applyAlignment="1">
      <alignment horizontal="left" vertical="center" wrapText="1"/>
    </xf>
    <xf numFmtId="166" fontId="33" fillId="0" borderId="17" xfId="0" applyFont="1" applyFill="1" applyBorder="1" applyAlignment="1">
      <alignment horizontal="left" vertical="center" wrapText="1"/>
    </xf>
    <xf numFmtId="166" fontId="33" fillId="10" borderId="12" xfId="0" applyFont="1" applyFill="1" applyBorder="1" applyAlignment="1">
      <alignment vertical="center"/>
    </xf>
    <xf numFmtId="165" fontId="33" fillId="17" borderId="12" xfId="0" applyNumberFormat="1" applyFont="1" applyFill="1" applyBorder="1"/>
    <xf numFmtId="1" fontId="33" fillId="10" borderId="12" xfId="0" applyNumberFormat="1" applyFont="1" applyFill="1" applyBorder="1" applyAlignment="1">
      <alignment horizontal="right"/>
    </xf>
    <xf numFmtId="1" fontId="33" fillId="10" borderId="12" xfId="0" applyNumberFormat="1" applyFont="1" applyFill="1" applyBorder="1"/>
    <xf numFmtId="1" fontId="33" fillId="17" borderId="12" xfId="0" applyNumberFormat="1" applyFont="1" applyFill="1" applyBorder="1" applyAlignment="1">
      <alignment horizontal="right"/>
    </xf>
    <xf numFmtId="1" fontId="33" fillId="10" borderId="12" xfId="0" applyNumberFormat="1" applyFont="1" applyFill="1" applyBorder="1" applyAlignment="1">
      <alignment vertical="center"/>
    </xf>
    <xf numFmtId="4" fontId="33" fillId="17" borderId="12" xfId="0" applyNumberFormat="1" applyFont="1" applyFill="1" applyBorder="1"/>
    <xf numFmtId="165" fontId="33" fillId="18" borderId="12" xfId="0" applyNumberFormat="1" applyFont="1" applyFill="1" applyBorder="1"/>
    <xf numFmtId="166" fontId="59" fillId="13" borderId="0" xfId="0" applyFont="1" applyFill="1" applyBorder="1"/>
    <xf numFmtId="1" fontId="37" fillId="35" borderId="12" xfId="0" applyNumberFormat="1" applyFont="1" applyFill="1" applyBorder="1" applyAlignment="1">
      <alignment horizontal="center" textRotation="90" wrapText="1"/>
    </xf>
    <xf numFmtId="1" fontId="32" fillId="35" borderId="12" xfId="0" applyNumberFormat="1" applyFont="1" applyFill="1" applyBorder="1" applyAlignment="1">
      <alignment horizontal="center" wrapText="1"/>
    </xf>
    <xf numFmtId="1" fontId="32" fillId="0" borderId="0" xfId="0" applyNumberFormat="1" applyFont="1" applyFill="1"/>
    <xf numFmtId="165" fontId="33" fillId="16" borderId="0" xfId="0" applyNumberFormat="1" applyFont="1" applyFill="1"/>
    <xf numFmtId="166" fontId="0" fillId="16" borderId="0" xfId="0" applyFill="1"/>
    <xf numFmtId="1" fontId="0" fillId="16" borderId="0" xfId="0" applyNumberFormat="1" applyFill="1"/>
    <xf numFmtId="166" fontId="58" fillId="16" borderId="0" xfId="0" applyFont="1" applyFill="1"/>
    <xf numFmtId="1" fontId="58" fillId="0" borderId="0" xfId="0" applyNumberFormat="1" applyFont="1"/>
    <xf numFmtId="9" fontId="0" fillId="0" borderId="0" xfId="0" applyNumberFormat="1" applyFill="1" applyAlignment="1">
      <alignment horizontal="right"/>
    </xf>
    <xf numFmtId="9" fontId="9" fillId="0" borderId="0" xfId="0" applyNumberFormat="1" applyFont="1" applyFill="1" applyAlignment="1">
      <alignment horizontal="right"/>
    </xf>
    <xf numFmtId="166" fontId="9" fillId="0" borderId="0" xfId="0" applyFont="1" applyAlignment="1">
      <alignment textRotation="90" wrapText="1"/>
    </xf>
    <xf numFmtId="166" fontId="32" fillId="35" borderId="12" xfId="0" applyFont="1" applyFill="1" applyBorder="1" applyAlignment="1">
      <alignment horizontal="center" textRotation="90" wrapText="1"/>
    </xf>
    <xf numFmtId="166" fontId="9" fillId="35" borderId="12" xfId="0" applyFont="1" applyFill="1" applyBorder="1" applyAlignment="1">
      <alignment horizontal="center" wrapText="1"/>
    </xf>
    <xf numFmtId="166" fontId="33" fillId="12" borderId="12" xfId="0" applyFont="1" applyFill="1" applyBorder="1"/>
    <xf numFmtId="1" fontId="33" fillId="17" borderId="12" xfId="0" applyNumberFormat="1" applyFont="1" applyFill="1" applyBorder="1"/>
    <xf numFmtId="1" fontId="33" fillId="12" borderId="12" xfId="0" applyNumberFormat="1" applyFont="1" applyFill="1" applyBorder="1"/>
    <xf numFmtId="2" fontId="33" fillId="12" borderId="12" xfId="0" applyNumberFormat="1" applyFont="1" applyFill="1" applyBorder="1"/>
    <xf numFmtId="1" fontId="0" fillId="0" borderId="0" xfId="0" applyNumberFormat="1" applyBorder="1"/>
    <xf numFmtId="2" fontId="59" fillId="12" borderId="12" xfId="0" applyNumberFormat="1" applyFont="1" applyFill="1" applyBorder="1"/>
    <xf numFmtId="166" fontId="33" fillId="22" borderId="31" xfId="0" applyFont="1" applyFill="1" applyBorder="1" applyAlignment="1">
      <alignment vertical="center" wrapText="1"/>
    </xf>
    <xf numFmtId="1" fontId="33" fillId="0" borderId="12" xfId="0" applyNumberFormat="1" applyFont="1" applyFill="1" applyBorder="1" applyAlignment="1">
      <alignment horizontal="center" vertical="center" wrapText="1"/>
    </xf>
    <xf numFmtId="2" fontId="0" fillId="0" borderId="0" xfId="0" applyNumberFormat="1" applyFill="1" applyAlignment="1">
      <alignment horizontal="right"/>
    </xf>
    <xf numFmtId="9" fontId="0" fillId="0" borderId="0" xfId="3" applyFont="1" applyFill="1" applyAlignment="1">
      <alignment horizontal="right"/>
    </xf>
    <xf numFmtId="164" fontId="32" fillId="0" borderId="0" xfId="0" applyNumberFormat="1" applyFont="1" applyFill="1" applyAlignment="1">
      <alignment horizontal="right"/>
    </xf>
    <xf numFmtId="164" fontId="32" fillId="0" borderId="4" xfId="0" applyNumberFormat="1" applyFont="1" applyFill="1" applyBorder="1" applyAlignment="1"/>
    <xf numFmtId="164" fontId="32" fillId="0" borderId="5" xfId="0" applyNumberFormat="1" applyFont="1" applyFill="1" applyBorder="1" applyAlignment="1">
      <alignment horizontal="center" wrapText="1"/>
    </xf>
    <xf numFmtId="164" fontId="33" fillId="16" borderId="32" xfId="0" applyNumberFormat="1" applyFont="1" applyFill="1" applyBorder="1" applyAlignment="1">
      <alignment horizontal="center" vertical="center"/>
    </xf>
    <xf numFmtId="164" fontId="33" fillId="16" borderId="30" xfId="0" applyNumberFormat="1" applyFont="1" applyFill="1" applyBorder="1" applyAlignment="1">
      <alignment horizontal="center" vertical="center"/>
    </xf>
    <xf numFmtId="164" fontId="33" fillId="22" borderId="31" xfId="0" applyNumberFormat="1" applyFont="1" applyFill="1" applyBorder="1" applyAlignment="1">
      <alignment horizontal="center" vertical="center"/>
    </xf>
    <xf numFmtId="164" fontId="40" fillId="17" borderId="27" xfId="0" applyNumberFormat="1" applyFont="1" applyFill="1" applyBorder="1" applyAlignment="1">
      <alignment horizontal="center" vertical="center" wrapText="1"/>
    </xf>
    <xf numFmtId="164" fontId="33" fillId="16" borderId="17" xfId="0" applyNumberFormat="1" applyFont="1" applyFill="1" applyBorder="1" applyAlignment="1">
      <alignment horizontal="center" vertical="center" wrapText="1"/>
    </xf>
    <xf numFmtId="164" fontId="33" fillId="16" borderId="41" xfId="0" applyNumberFormat="1" applyFont="1" applyFill="1" applyBorder="1" applyAlignment="1">
      <alignment horizontal="center" vertical="center" wrapText="1"/>
    </xf>
    <xf numFmtId="164" fontId="33" fillId="16" borderId="43" xfId="0" applyNumberFormat="1" applyFont="1" applyFill="1" applyBorder="1" applyAlignment="1">
      <alignment horizontal="center" vertical="center" wrapText="1"/>
    </xf>
    <xf numFmtId="164" fontId="33" fillId="16" borderId="10" xfId="0" applyNumberFormat="1" applyFont="1" applyFill="1" applyBorder="1" applyAlignment="1">
      <alignment horizontal="center" vertical="center" wrapText="1"/>
    </xf>
    <xf numFmtId="164" fontId="15" fillId="0" borderId="0" xfId="0" applyNumberFormat="1" applyFont="1" applyFill="1" applyAlignment="1">
      <alignment horizontal="center"/>
    </xf>
    <xf numFmtId="164" fontId="32" fillId="0" borderId="9" xfId="0" applyNumberFormat="1" applyFont="1" applyFill="1" applyBorder="1" applyAlignment="1"/>
    <xf numFmtId="164" fontId="33" fillId="0" borderId="0" xfId="0" applyNumberFormat="1" applyFont="1" applyFill="1" applyAlignment="1">
      <alignment horizontal="center"/>
    </xf>
    <xf numFmtId="164" fontId="32" fillId="0" borderId="11" xfId="0" applyNumberFormat="1" applyFont="1" applyFill="1" applyBorder="1" applyAlignment="1">
      <alignment horizontal="center" wrapText="1"/>
    </xf>
    <xf numFmtId="164" fontId="33" fillId="22" borderId="29" xfId="0" applyNumberFormat="1" applyFont="1" applyFill="1" applyBorder="1" applyAlignment="1">
      <alignment horizontal="left" vertical="center"/>
    </xf>
    <xf numFmtId="164" fontId="33" fillId="22" borderId="35" xfId="0" applyNumberFormat="1" applyFont="1" applyFill="1" applyBorder="1" applyAlignment="1">
      <alignment horizontal="left" vertical="center"/>
    </xf>
    <xf numFmtId="164" fontId="33" fillId="16" borderId="19" xfId="0" applyNumberFormat="1" applyFont="1" applyFill="1" applyBorder="1" applyAlignment="1">
      <alignment horizontal="center" vertical="center" wrapText="1"/>
    </xf>
    <xf numFmtId="164" fontId="33" fillId="16" borderId="39" xfId="0" applyNumberFormat="1" applyFont="1" applyFill="1" applyBorder="1" applyAlignment="1">
      <alignment horizontal="center" vertical="center" wrapText="1"/>
    </xf>
    <xf numFmtId="164" fontId="33" fillId="16" borderId="40" xfId="0" applyNumberFormat="1" applyFont="1" applyFill="1" applyBorder="1" applyAlignment="1">
      <alignment horizontal="center" vertical="center" wrapText="1"/>
    </xf>
    <xf numFmtId="49" fontId="32" fillId="0" borderId="0" xfId="0" applyNumberFormat="1" applyFont="1" applyFill="1" applyBorder="1" applyAlignment="1"/>
    <xf numFmtId="49" fontId="33" fillId="0" borderId="0" xfId="0" applyNumberFormat="1" applyFont="1" applyFill="1" applyBorder="1"/>
    <xf numFmtId="49" fontId="13" fillId="0" borderId="0" xfId="0" applyNumberFormat="1" applyFont="1"/>
    <xf numFmtId="49" fontId="33" fillId="0" borderId="0" xfId="0" applyNumberFormat="1" applyFont="1"/>
    <xf numFmtId="49" fontId="37" fillId="35" borderId="0" xfId="0" applyNumberFormat="1" applyFont="1" applyFill="1" applyAlignment="1">
      <alignment horizontal="center" textRotation="90" wrapText="1"/>
    </xf>
    <xf numFmtId="49" fontId="32" fillId="35" borderId="0" xfId="0" applyNumberFormat="1" applyFont="1" applyFill="1" applyAlignment="1">
      <alignment horizontal="center" wrapText="1"/>
    </xf>
    <xf numFmtId="49" fontId="33" fillId="5" borderId="0" xfId="0" applyNumberFormat="1" applyFont="1" applyFill="1" applyAlignment="1">
      <alignment horizontal="left"/>
    </xf>
    <xf numFmtId="49" fontId="33" fillId="12" borderId="0" xfId="0" applyNumberFormat="1" applyFont="1" applyFill="1"/>
    <xf numFmtId="49" fontId="33" fillId="13" borderId="0" xfId="0" applyNumberFormat="1" applyFont="1" applyFill="1" applyBorder="1"/>
    <xf numFmtId="49" fontId="0" fillId="0" borderId="0" xfId="0" applyNumberFormat="1"/>
    <xf numFmtId="49" fontId="32" fillId="0" borderId="0" xfId="0" applyNumberFormat="1" applyFont="1"/>
    <xf numFmtId="49" fontId="33" fillId="17" borderId="12" xfId="0" applyNumberFormat="1" applyFont="1" applyFill="1" applyBorder="1" applyAlignment="1">
      <alignment vertical="center"/>
    </xf>
    <xf numFmtId="49" fontId="32" fillId="35" borderId="12" xfId="0" applyNumberFormat="1" applyFont="1" applyFill="1" applyBorder="1" applyAlignment="1">
      <alignment horizontal="center" textRotation="90" wrapText="1"/>
    </xf>
    <xf numFmtId="49" fontId="0" fillId="35" borderId="12" xfId="0" applyNumberFormat="1" applyFill="1" applyBorder="1" applyAlignment="1">
      <alignment horizontal="center" wrapText="1"/>
    </xf>
    <xf numFmtId="49" fontId="33" fillId="10" borderId="12" xfId="0" applyNumberFormat="1" applyFont="1" applyFill="1" applyBorder="1" applyAlignment="1">
      <alignment vertical="center"/>
    </xf>
    <xf numFmtId="49" fontId="33" fillId="12" borderId="12" xfId="0" applyNumberFormat="1" applyFont="1" applyFill="1" applyBorder="1"/>
    <xf numFmtId="49" fontId="33" fillId="16" borderId="0" xfId="0" applyNumberFormat="1" applyFont="1" applyFill="1"/>
    <xf numFmtId="49" fontId="0" fillId="16" borderId="0" xfId="0" applyNumberFormat="1" applyFill="1"/>
    <xf numFmtId="1" fontId="39" fillId="10" borderId="12" xfId="0" applyNumberFormat="1" applyFont="1" applyFill="1" applyBorder="1" applyAlignment="1">
      <alignment vertical="center"/>
    </xf>
    <xf numFmtId="1" fontId="33" fillId="16" borderId="0" xfId="0" applyNumberFormat="1" applyFont="1" applyFill="1"/>
    <xf numFmtId="164" fontId="40" fillId="17" borderId="12" xfId="0" applyNumberFormat="1" applyFont="1" applyFill="1" applyBorder="1" applyAlignment="1">
      <alignment horizontal="center" vertical="center" wrapText="1"/>
    </xf>
    <xf numFmtId="164" fontId="40" fillId="17" borderId="12" xfId="0" applyNumberFormat="1" applyFont="1" applyFill="1" applyBorder="1" applyAlignment="1">
      <alignment horizontal="center" vertical="center"/>
    </xf>
    <xf numFmtId="1" fontId="15" fillId="0" borderId="0" xfId="0" applyNumberFormat="1" applyFont="1" applyFill="1"/>
    <xf numFmtId="1" fontId="32" fillId="0" borderId="12" xfId="0" applyNumberFormat="1" applyFont="1" applyFill="1" applyBorder="1" applyAlignment="1">
      <alignment horizontal="center" wrapText="1"/>
    </xf>
    <xf numFmtId="1" fontId="33" fillId="0" borderId="0" xfId="0" applyNumberFormat="1" applyFont="1" applyFill="1" applyAlignment="1">
      <alignment horizontal="right"/>
    </xf>
    <xf numFmtId="1" fontId="13" fillId="0" borderId="0" xfId="0" applyNumberFormat="1" applyFont="1" applyFill="1" applyAlignment="1">
      <alignment horizontal="right"/>
    </xf>
    <xf numFmtId="1" fontId="32" fillId="0" borderId="0" xfId="0" applyNumberFormat="1" applyFont="1" applyFill="1" applyAlignment="1">
      <alignment horizontal="right"/>
    </xf>
    <xf numFmtId="1" fontId="32" fillId="0" borderId="0" xfId="0" applyNumberFormat="1" applyFont="1" applyFill="1" applyBorder="1" applyAlignment="1">
      <alignment horizontal="right"/>
    </xf>
    <xf numFmtId="1" fontId="33" fillId="0" borderId="12"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wrapText="1"/>
    </xf>
    <xf numFmtId="1" fontId="9" fillId="0" borderId="0" xfId="0" applyNumberFormat="1" applyFont="1" applyFill="1" applyAlignment="1">
      <alignment wrapText="1"/>
    </xf>
    <xf numFmtId="164" fontId="32" fillId="0" borderId="17" xfId="0" applyNumberFormat="1" applyFont="1" applyFill="1" applyBorder="1" applyAlignment="1">
      <alignment horizontal="center" wrapText="1"/>
    </xf>
    <xf numFmtId="164" fontId="46" fillId="17" borderId="27" xfId="0" applyNumberFormat="1" applyFont="1" applyFill="1" applyBorder="1" applyAlignment="1">
      <alignment horizontal="center" vertical="center" wrapText="1"/>
    </xf>
    <xf numFmtId="164" fontId="9" fillId="0" borderId="0" xfId="0" applyNumberFormat="1" applyFont="1" applyFill="1" applyAlignment="1">
      <alignment horizontal="center"/>
    </xf>
    <xf numFmtId="164" fontId="9" fillId="0" borderId="0" xfId="0" applyNumberFormat="1" applyFont="1" applyFill="1"/>
    <xf numFmtId="1" fontId="9" fillId="0" borderId="0" xfId="0" applyNumberFormat="1" applyFont="1" applyFill="1" applyAlignment="1">
      <alignment horizontal="right"/>
    </xf>
    <xf numFmtId="1" fontId="32" fillId="20" borderId="12" xfId="0" applyNumberFormat="1" applyFont="1" applyFill="1" applyBorder="1" applyAlignment="1">
      <alignment horizontal="center" vertical="center" wrapText="1"/>
    </xf>
    <xf numFmtId="1" fontId="62" fillId="15" borderId="12" xfId="0" applyNumberFormat="1" applyFont="1" applyFill="1" applyBorder="1" applyAlignment="1">
      <alignment horizontal="center" vertical="center" wrapText="1"/>
    </xf>
    <xf numFmtId="1" fontId="33" fillId="0" borderId="0" xfId="0" applyNumberFormat="1" applyFont="1" applyFill="1"/>
    <xf numFmtId="1" fontId="32" fillId="0" borderId="12" xfId="0" applyNumberFormat="1"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1" fontId="32" fillId="0" borderId="13" xfId="0" applyNumberFormat="1" applyFont="1" applyFill="1" applyBorder="1" applyAlignment="1">
      <alignment horizontal="center" vertical="center" wrapText="1"/>
    </xf>
    <xf numFmtId="1" fontId="32" fillId="0" borderId="14" xfId="0" applyNumberFormat="1" applyFont="1" applyFill="1" applyBorder="1" applyAlignment="1">
      <alignment horizontal="center" vertical="center" wrapText="1"/>
    </xf>
    <xf numFmtId="164" fontId="34" fillId="0" borderId="0" xfId="0" applyNumberFormat="1" applyFont="1" applyFill="1" applyBorder="1" applyAlignment="1"/>
    <xf numFmtId="164" fontId="34" fillId="0" borderId="0" xfId="0" applyNumberFormat="1" applyFont="1" applyFill="1" applyBorder="1" applyAlignment="1">
      <alignment horizontal="left" vertical="center"/>
    </xf>
    <xf numFmtId="164" fontId="34" fillId="0" borderId="10" xfId="0" applyNumberFormat="1" applyFont="1" applyFill="1" applyBorder="1" applyAlignment="1">
      <alignment wrapText="1"/>
    </xf>
    <xf numFmtId="164" fontId="40" fillId="17" borderId="51" xfId="0" applyNumberFormat="1" applyFont="1" applyFill="1" applyBorder="1" applyAlignment="1">
      <alignment horizontal="center" vertical="center" wrapText="1"/>
    </xf>
    <xf numFmtId="164" fontId="40" fillId="17" borderId="54" xfId="0" applyNumberFormat="1" applyFont="1" applyFill="1" applyBorder="1" applyAlignment="1">
      <alignment horizontal="center" vertical="center" wrapText="1"/>
    </xf>
    <xf numFmtId="164" fontId="40" fillId="17" borderId="54" xfId="0" applyNumberFormat="1" applyFont="1" applyFill="1" applyBorder="1" applyAlignment="1">
      <alignment horizontal="center" vertical="center"/>
    </xf>
    <xf numFmtId="164" fontId="43" fillId="0" borderId="0" xfId="0" applyNumberFormat="1" applyFont="1" applyFill="1" applyAlignment="1"/>
    <xf numFmtId="164" fontId="43" fillId="0" borderId="0" xfId="0" applyNumberFormat="1" applyFont="1" applyFill="1" applyBorder="1" applyAlignment="1">
      <alignment horizontal="center"/>
    </xf>
    <xf numFmtId="164" fontId="34" fillId="0" borderId="0" xfId="0" applyNumberFormat="1" applyFont="1" applyFill="1" applyBorder="1" applyAlignment="1">
      <alignment horizontal="left"/>
    </xf>
    <xf numFmtId="164" fontId="50" fillId="0" borderId="0" xfId="7" applyNumberFormat="1" applyFont="1" applyFill="1" applyBorder="1" applyAlignment="1">
      <alignment horizontal="center" vertical="center"/>
    </xf>
    <xf numFmtId="164" fontId="9" fillId="0" borderId="0" xfId="7" applyNumberFormat="1" applyFont="1" applyFill="1" applyBorder="1" applyAlignment="1">
      <alignment horizontal="center" vertical="center"/>
    </xf>
    <xf numFmtId="164" fontId="33" fillId="0" borderId="0" xfId="7" applyNumberFormat="1" applyFont="1" applyFill="1" applyAlignment="1">
      <alignment horizontal="center" vertical="center"/>
    </xf>
    <xf numFmtId="164" fontId="40" fillId="0" borderId="0" xfId="0" applyNumberFormat="1" applyFont="1" applyFill="1" applyBorder="1" applyAlignment="1">
      <alignment vertical="center" wrapText="1"/>
    </xf>
    <xf numFmtId="164" fontId="52" fillId="28" borderId="12" xfId="8" applyNumberFormat="1" applyFont="1" applyFill="1" applyBorder="1" applyAlignment="1">
      <alignment vertical="center"/>
    </xf>
    <xf numFmtId="164" fontId="33" fillId="28" borderId="12" xfId="8" applyNumberFormat="1" applyFont="1" applyFill="1" applyBorder="1" applyAlignment="1">
      <alignment vertical="center"/>
    </xf>
    <xf numFmtId="164" fontId="33" fillId="28" borderId="13" xfId="8" applyNumberFormat="1" applyFont="1" applyFill="1" applyBorder="1" applyAlignment="1">
      <alignment vertical="center"/>
    </xf>
    <xf numFmtId="164" fontId="43" fillId="29" borderId="51" xfId="0" applyNumberFormat="1" applyFont="1" applyFill="1" applyBorder="1" applyAlignment="1">
      <alignment vertical="center" wrapText="1"/>
    </xf>
    <xf numFmtId="164" fontId="33" fillId="33" borderId="51" xfId="0" applyNumberFormat="1" applyFont="1" applyFill="1" applyBorder="1" applyAlignment="1">
      <alignment vertical="center"/>
    </xf>
    <xf numFmtId="164" fontId="33" fillId="33" borderId="12" xfId="0" applyNumberFormat="1" applyFont="1" applyFill="1" applyBorder="1" applyAlignment="1">
      <alignment vertical="center"/>
    </xf>
    <xf numFmtId="164" fontId="33" fillId="33" borderId="13" xfId="0" applyNumberFormat="1" applyFont="1" applyFill="1" applyBorder="1" applyAlignment="1">
      <alignment vertical="center"/>
    </xf>
    <xf numFmtId="164" fontId="33" fillId="33" borderId="54" xfId="0" applyNumberFormat="1" applyFont="1" applyFill="1" applyBorder="1" applyAlignment="1">
      <alignment vertical="center"/>
    </xf>
    <xf numFmtId="164" fontId="33" fillId="31" borderId="51" xfId="0" applyNumberFormat="1" applyFont="1" applyFill="1" applyBorder="1" applyAlignment="1">
      <alignment vertical="center"/>
    </xf>
    <xf numFmtId="164" fontId="33" fillId="31" borderId="12" xfId="0" applyNumberFormat="1" applyFont="1" applyFill="1" applyBorder="1" applyAlignment="1">
      <alignment vertical="center"/>
    </xf>
    <xf numFmtId="164" fontId="52" fillId="31" borderId="12" xfId="8" applyNumberFormat="1" applyFont="1" applyFill="1" applyBorder="1" applyAlignment="1">
      <alignment vertical="center"/>
    </xf>
    <xf numFmtId="164" fontId="33" fillId="29" borderId="51" xfId="0" applyNumberFormat="1" applyFont="1" applyFill="1" applyBorder="1" applyAlignment="1">
      <alignment vertical="center"/>
    </xf>
    <xf numFmtId="164" fontId="33" fillId="29" borderId="12" xfId="0" applyNumberFormat="1" applyFont="1" applyFill="1" applyBorder="1" applyAlignment="1">
      <alignment vertical="center"/>
    </xf>
    <xf numFmtId="164" fontId="33" fillId="29" borderId="13" xfId="0" applyNumberFormat="1" applyFont="1" applyFill="1" applyBorder="1" applyAlignment="1">
      <alignment vertical="center"/>
    </xf>
    <xf numFmtId="164" fontId="43" fillId="0" borderId="0" xfId="0" applyNumberFormat="1" applyFont="1" applyFill="1" applyBorder="1" applyAlignment="1">
      <alignment vertical="center" wrapText="1"/>
    </xf>
    <xf numFmtId="164" fontId="43" fillId="0" borderId="0" xfId="0" applyNumberFormat="1" applyFont="1" applyFill="1" applyBorder="1" applyAlignment="1">
      <alignment vertical="center"/>
    </xf>
    <xf numFmtId="164" fontId="33" fillId="0" borderId="0" xfId="8" applyNumberFormat="1" applyFont="1" applyFill="1" applyBorder="1" applyAlignment="1">
      <alignment vertical="center"/>
    </xf>
    <xf numFmtId="164" fontId="33" fillId="0" borderId="0" xfId="0" applyNumberFormat="1" applyFont="1" applyFill="1" applyBorder="1" applyAlignment="1">
      <alignment vertical="center"/>
    </xf>
    <xf numFmtId="164" fontId="33" fillId="0" borderId="0" xfId="0" applyNumberFormat="1" applyFont="1" applyFill="1" applyBorder="1" applyAlignment="1">
      <alignment horizontal="center" vertical="center"/>
    </xf>
    <xf numFmtId="164" fontId="33" fillId="0" borderId="0" xfId="0" applyNumberFormat="1" applyFont="1" applyAlignment="1">
      <alignment vertical="center"/>
    </xf>
    <xf numFmtId="49" fontId="39" fillId="10" borderId="12" xfId="0" applyNumberFormat="1" applyFont="1" applyFill="1" applyBorder="1" applyAlignment="1">
      <alignment vertical="center"/>
    </xf>
    <xf numFmtId="49" fontId="32" fillId="35" borderId="12" xfId="0" applyNumberFormat="1" applyFont="1" applyFill="1" applyBorder="1" applyAlignment="1">
      <alignment textRotation="90" wrapText="1"/>
    </xf>
    <xf numFmtId="49" fontId="32" fillId="35" borderId="12" xfId="0" applyNumberFormat="1" applyFont="1" applyFill="1" applyBorder="1" applyAlignment="1">
      <alignment horizontal="center" wrapText="1"/>
    </xf>
    <xf numFmtId="1" fontId="11" fillId="6" borderId="0" xfId="0" applyNumberFormat="1" applyFont="1" applyFill="1" applyAlignment="1">
      <alignment horizontal="center"/>
    </xf>
    <xf numFmtId="166" fontId="33" fillId="0" borderId="0" xfId="0" applyFont="1" applyFill="1" applyBorder="1" applyAlignment="1">
      <alignment horizontal="left" vertical="center" wrapText="1"/>
    </xf>
    <xf numFmtId="166" fontId="34" fillId="0" borderId="10" xfId="0" applyFont="1" applyFill="1" applyBorder="1" applyAlignment="1">
      <alignment horizontal="center" wrapText="1"/>
    </xf>
    <xf numFmtId="166" fontId="34" fillId="0" borderId="0" xfId="0" applyFont="1" applyFill="1" applyBorder="1" applyAlignment="1">
      <alignment horizontal="left"/>
    </xf>
    <xf numFmtId="1" fontId="34" fillId="0" borderId="0" xfId="0" applyNumberFormat="1" applyFont="1" applyFill="1"/>
    <xf numFmtId="1" fontId="32" fillId="0" borderId="10" xfId="0" applyNumberFormat="1" applyFont="1" applyFill="1" applyBorder="1" applyAlignment="1">
      <alignment horizontal="center" vertical="top" wrapText="1"/>
    </xf>
    <xf numFmtId="1" fontId="33" fillId="0" borderId="17" xfId="0" applyNumberFormat="1" applyFont="1" applyFill="1" applyBorder="1" applyAlignment="1">
      <alignment horizontal="center" vertical="center" wrapText="1"/>
    </xf>
    <xf numFmtId="1" fontId="12" fillId="0" borderId="0" xfId="0" applyNumberFormat="1" applyFont="1" applyFill="1" applyBorder="1"/>
    <xf numFmtId="1" fontId="9" fillId="0" borderId="0" xfId="0" applyNumberFormat="1" applyFont="1" applyFill="1"/>
    <xf numFmtId="2" fontId="32" fillId="12" borderId="0" xfId="0" applyNumberFormat="1" applyFont="1" applyFill="1"/>
    <xf numFmtId="1" fontId="0" fillId="0" borderId="0" xfId="0" applyNumberFormat="1" applyAlignment="1">
      <alignment horizontal="center" vertical="center"/>
    </xf>
    <xf numFmtId="166" fontId="0" fillId="0" borderId="0" xfId="0" applyAlignment="1">
      <alignment vertical="center"/>
    </xf>
    <xf numFmtId="166" fontId="21" fillId="6" borderId="0" xfId="0" applyFont="1" applyFill="1" applyAlignment="1">
      <alignment horizontal="left" vertical="center" wrapText="1"/>
    </xf>
    <xf numFmtId="1" fontId="0" fillId="2" borderId="0" xfId="0" applyNumberFormat="1" applyFill="1" applyAlignment="1">
      <alignment horizontal="center" vertical="center"/>
    </xf>
    <xf numFmtId="166" fontId="18" fillId="2" borderId="0" xfId="0" applyFont="1" applyFill="1" applyAlignment="1">
      <alignment horizontal="center" vertical="center"/>
    </xf>
    <xf numFmtId="164" fontId="18" fillId="2" borderId="0" xfId="0" applyNumberFormat="1" applyFont="1" applyFill="1" applyAlignment="1">
      <alignment horizontal="center" vertical="center"/>
    </xf>
    <xf numFmtId="1" fontId="11" fillId="3" borderId="0" xfId="0" applyNumberFormat="1" applyFont="1" applyFill="1" applyAlignment="1">
      <alignment horizontal="center" vertical="center"/>
    </xf>
    <xf numFmtId="166" fontId="19" fillId="3" borderId="0" xfId="0" applyFont="1" applyFill="1" applyBorder="1" applyAlignment="1">
      <alignment vertical="center" wrapText="1"/>
    </xf>
    <xf numFmtId="164" fontId="0" fillId="0" borderId="0" xfId="0" applyNumberFormat="1" applyAlignment="1">
      <alignment horizontal="center" vertical="center"/>
    </xf>
    <xf numFmtId="164" fontId="20" fillId="3" borderId="0" xfId="0" applyNumberFormat="1" applyFont="1" applyFill="1" applyAlignment="1">
      <alignment horizontal="center" vertical="center"/>
    </xf>
    <xf numFmtId="166" fontId="11" fillId="19" borderId="21" xfId="0" applyFont="1" applyFill="1" applyBorder="1" applyAlignment="1">
      <alignment horizontal="right" vertical="center"/>
    </xf>
    <xf numFmtId="164" fontId="11" fillId="19" borderId="21" xfId="0" applyNumberFormat="1" applyFont="1" applyFill="1" applyBorder="1" applyAlignment="1">
      <alignment horizontal="center" vertical="center"/>
    </xf>
    <xf numFmtId="166" fontId="31" fillId="19" borderId="0" xfId="0" applyFont="1" applyFill="1" applyBorder="1" applyAlignment="1">
      <alignment horizontal="right" vertical="center" wrapText="1"/>
    </xf>
    <xf numFmtId="164" fontId="11" fillId="19" borderId="0" xfId="0" applyNumberFormat="1" applyFont="1" applyFill="1" applyBorder="1" applyAlignment="1">
      <alignment horizontal="center" vertical="center"/>
    </xf>
    <xf numFmtId="166" fontId="9" fillId="19" borderId="20" xfId="0" applyFont="1" applyFill="1" applyBorder="1"/>
    <xf numFmtId="166" fontId="9" fillId="19" borderId="23" xfId="0" applyFont="1" applyFill="1" applyBorder="1"/>
    <xf numFmtId="1" fontId="33" fillId="0" borderId="0" xfId="0" applyNumberFormat="1" applyFont="1" applyFill="1" applyBorder="1" applyAlignment="1">
      <alignment horizontal="center" vertical="center"/>
    </xf>
    <xf numFmtId="164" fontId="11" fillId="24" borderId="21" xfId="0" applyNumberFormat="1" applyFont="1" applyFill="1" applyBorder="1" applyAlignment="1">
      <alignment horizontal="center" vertical="center"/>
    </xf>
    <xf numFmtId="164" fontId="9" fillId="0" borderId="0" xfId="0" applyNumberFormat="1" applyFont="1" applyAlignment="1">
      <alignment horizontal="center" vertical="center"/>
    </xf>
    <xf numFmtId="1" fontId="9" fillId="8" borderId="12" xfId="0" applyNumberFormat="1" applyFont="1" applyFill="1" applyBorder="1" applyAlignment="1">
      <alignment horizontal="center" vertical="center"/>
    </xf>
    <xf numFmtId="1" fontId="11" fillId="23" borderId="0" xfId="0" applyNumberFormat="1" applyFont="1" applyFill="1" applyAlignment="1">
      <alignment horizontal="center" wrapText="1"/>
    </xf>
    <xf numFmtId="1" fontId="9" fillId="21" borderId="12" xfId="0" applyNumberFormat="1" applyFont="1" applyFill="1" applyBorder="1" applyAlignment="1">
      <alignment horizontal="center" vertical="center"/>
    </xf>
    <xf numFmtId="1" fontId="9" fillId="24" borderId="21" xfId="0" applyNumberFormat="1" applyFont="1" applyFill="1" applyBorder="1" applyAlignment="1">
      <alignment horizontal="center"/>
    </xf>
    <xf numFmtId="1" fontId="11" fillId="21" borderId="13" xfId="0" applyNumberFormat="1" applyFont="1" applyFill="1" applyBorder="1" applyAlignment="1">
      <alignment horizontal="left" vertical="center"/>
    </xf>
    <xf numFmtId="1" fontId="9" fillId="37" borderId="16" xfId="0" applyNumberFormat="1" applyFont="1" applyFill="1" applyBorder="1" applyAlignment="1">
      <alignment horizontal="center" vertical="center"/>
    </xf>
    <xf numFmtId="1" fontId="9" fillId="26" borderId="12" xfId="0" applyNumberFormat="1" applyFont="1" applyFill="1" applyBorder="1" applyAlignment="1">
      <alignment horizontal="center" vertical="center"/>
    </xf>
    <xf numFmtId="1" fontId="11" fillId="26" borderId="12" xfId="0" applyNumberFormat="1" applyFont="1" applyFill="1" applyBorder="1" applyAlignment="1">
      <alignment horizontal="left" vertical="center"/>
    </xf>
    <xf numFmtId="1" fontId="9" fillId="0" borderId="0" xfId="0" applyNumberFormat="1" applyFont="1" applyAlignment="1">
      <alignment horizontal="center"/>
    </xf>
    <xf numFmtId="166" fontId="20" fillId="6" borderId="0" xfId="0" applyFont="1" applyFill="1" applyAlignment="1">
      <alignment horizontal="left" wrapText="1"/>
    </xf>
    <xf numFmtId="166" fontId="9" fillId="23" borderId="0" xfId="0" applyFont="1" applyFill="1" applyAlignment="1">
      <alignment wrapText="1"/>
    </xf>
    <xf numFmtId="166" fontId="20" fillId="3" borderId="0" xfId="0" applyFont="1" applyFill="1" applyBorder="1" applyAlignment="1">
      <alignment horizontal="center" vertical="center" wrapText="1"/>
    </xf>
    <xf numFmtId="166" fontId="20" fillId="24" borderId="21" xfId="0" applyFont="1" applyFill="1" applyBorder="1" applyAlignment="1">
      <alignment horizontal="center" wrapText="1"/>
    </xf>
    <xf numFmtId="166" fontId="9" fillId="21" borderId="13" xfId="0" applyFont="1" applyFill="1" applyBorder="1" applyAlignment="1">
      <alignment horizontal="left" vertical="top"/>
    </xf>
    <xf numFmtId="166" fontId="9" fillId="26" borderId="12" xfId="0" applyFont="1" applyFill="1" applyBorder="1" applyAlignment="1">
      <alignment horizontal="left" vertical="center"/>
    </xf>
    <xf numFmtId="166" fontId="9" fillId="38" borderId="7" xfId="0" applyFont="1" applyFill="1" applyBorder="1" applyAlignment="1">
      <alignment wrapText="1"/>
    </xf>
    <xf numFmtId="1" fontId="9" fillId="5" borderId="12" xfId="0" applyNumberFormat="1" applyFont="1" applyFill="1" applyBorder="1" applyAlignment="1">
      <alignment horizontal="center" vertical="center"/>
    </xf>
    <xf numFmtId="166" fontId="13" fillId="5" borderId="12" xfId="0" applyFont="1" applyFill="1" applyBorder="1" applyAlignment="1">
      <alignment horizontal="left" vertical="center" wrapText="1"/>
    </xf>
    <xf numFmtId="164" fontId="13" fillId="5" borderId="12" xfId="0" applyNumberFormat="1" applyFont="1" applyFill="1" applyBorder="1" applyAlignment="1">
      <alignment horizontal="center" vertical="center"/>
    </xf>
    <xf numFmtId="166" fontId="9" fillId="36" borderId="25" xfId="0" applyFont="1" applyFill="1" applyBorder="1"/>
    <xf numFmtId="166" fontId="11" fillId="36" borderId="7" xfId="0" applyFont="1" applyFill="1" applyBorder="1" applyAlignment="1">
      <alignment vertical="center" wrapText="1"/>
    </xf>
    <xf numFmtId="1" fontId="0" fillId="33" borderId="12" xfId="0" applyNumberFormat="1" applyFill="1" applyBorder="1" applyAlignment="1">
      <alignment horizontal="center" vertical="center"/>
    </xf>
    <xf numFmtId="1" fontId="9" fillId="33" borderId="12" xfId="0" applyNumberFormat="1" applyFont="1" applyFill="1" applyBorder="1" applyAlignment="1">
      <alignment horizontal="center" vertical="center"/>
    </xf>
    <xf numFmtId="166" fontId="9" fillId="33" borderId="12" xfId="0" applyFont="1" applyFill="1" applyBorder="1" applyAlignment="1">
      <alignment horizontal="left" vertical="center" wrapText="1"/>
    </xf>
    <xf numFmtId="166" fontId="18" fillId="33" borderId="12" xfId="0" applyFont="1" applyFill="1" applyBorder="1" applyAlignment="1">
      <alignment horizontal="left" vertical="center" wrapText="1"/>
    </xf>
    <xf numFmtId="1" fontId="0" fillId="7" borderId="12" xfId="0" applyNumberFormat="1" applyFill="1" applyBorder="1" applyAlignment="1">
      <alignment horizontal="center" vertical="center"/>
    </xf>
    <xf numFmtId="166" fontId="9" fillId="7" borderId="12" xfId="0" applyFont="1" applyFill="1" applyBorder="1" applyAlignment="1">
      <alignment horizontal="left" vertical="center" wrapText="1"/>
    </xf>
    <xf numFmtId="166" fontId="0" fillId="7" borderId="12" xfId="0" applyFill="1" applyBorder="1" applyAlignment="1">
      <alignment horizontal="left" vertical="center" wrapText="1"/>
    </xf>
    <xf numFmtId="1" fontId="9" fillId="7" borderId="12" xfId="0" applyNumberFormat="1" applyFont="1" applyFill="1" applyBorder="1" applyAlignment="1">
      <alignment horizontal="center" vertical="center"/>
    </xf>
    <xf numFmtId="1" fontId="0" fillId="4" borderId="12" xfId="0" applyNumberFormat="1" applyFill="1" applyBorder="1" applyAlignment="1">
      <alignment horizontal="center" vertical="center"/>
    </xf>
    <xf numFmtId="166" fontId="9" fillId="4" borderId="12" xfId="0" applyFont="1" applyFill="1" applyBorder="1" applyAlignment="1">
      <alignment horizontal="left" vertical="center" wrapText="1"/>
    </xf>
    <xf numFmtId="1" fontId="11" fillId="4" borderId="12" xfId="0" applyNumberFormat="1" applyFont="1" applyFill="1" applyBorder="1" applyAlignment="1">
      <alignment horizontal="left" vertical="center"/>
    </xf>
    <xf numFmtId="166" fontId="11" fillId="4" borderId="12" xfId="0" applyFont="1" applyFill="1" applyBorder="1" applyAlignment="1">
      <alignment horizontal="left" vertical="center"/>
    </xf>
    <xf numFmtId="164" fontId="11" fillId="38" borderId="7" xfId="0" applyNumberFormat="1" applyFont="1" applyFill="1" applyBorder="1" applyAlignment="1">
      <alignment horizontal="center" vertical="center"/>
    </xf>
    <xf numFmtId="164" fontId="34" fillId="20" borderId="51" xfId="0" applyNumberFormat="1" applyFont="1" applyFill="1" applyBorder="1" applyAlignment="1">
      <alignment wrapText="1"/>
    </xf>
    <xf numFmtId="166" fontId="34" fillId="20" borderId="51" xfId="0" applyFont="1" applyFill="1" applyBorder="1" applyAlignment="1">
      <alignment wrapText="1"/>
    </xf>
    <xf numFmtId="164" fontId="34" fillId="20" borderId="12" xfId="0" applyNumberFormat="1" applyFont="1" applyFill="1" applyBorder="1" applyAlignment="1">
      <alignment wrapText="1"/>
    </xf>
    <xf numFmtId="166" fontId="34" fillId="20" borderId="12" xfId="0" applyFont="1" applyFill="1" applyBorder="1" applyAlignment="1">
      <alignment wrapText="1"/>
    </xf>
    <xf numFmtId="164" fontId="34" fillId="20" borderId="54" xfId="0" applyNumberFormat="1" applyFont="1" applyFill="1" applyBorder="1" applyAlignment="1">
      <alignment wrapText="1"/>
    </xf>
    <xf numFmtId="166" fontId="34" fillId="20" borderId="54" xfId="0" applyFont="1" applyFill="1" applyBorder="1" applyAlignment="1">
      <alignment wrapText="1"/>
    </xf>
    <xf numFmtId="164" fontId="43" fillId="20" borderId="51" xfId="0" applyNumberFormat="1" applyFont="1" applyFill="1" applyBorder="1" applyAlignment="1">
      <alignment wrapText="1"/>
    </xf>
    <xf numFmtId="166" fontId="43" fillId="20" borderId="51" xfId="0" applyFont="1" applyFill="1" applyBorder="1" applyAlignment="1">
      <alignment wrapText="1"/>
    </xf>
    <xf numFmtId="164" fontId="43" fillId="20" borderId="12" xfId="0" applyNumberFormat="1" applyFont="1" applyFill="1" applyBorder="1" applyAlignment="1"/>
    <xf numFmtId="166" fontId="43" fillId="20" borderId="12" xfId="0" applyFont="1" applyFill="1" applyBorder="1" applyAlignment="1"/>
    <xf numFmtId="164" fontId="43" fillId="20" borderId="12" xfId="0" applyNumberFormat="1" applyFont="1" applyFill="1" applyBorder="1" applyAlignment="1">
      <alignment wrapText="1"/>
    </xf>
    <xf numFmtId="166" fontId="43" fillId="20" borderId="12" xfId="0" applyFont="1" applyFill="1" applyBorder="1" applyAlignment="1">
      <alignment wrapText="1"/>
    </xf>
    <xf numFmtId="3" fontId="43" fillId="20" borderId="12" xfId="0" applyNumberFormat="1" applyFont="1" applyFill="1" applyBorder="1" applyAlignment="1">
      <alignment wrapText="1"/>
    </xf>
    <xf numFmtId="164" fontId="43" fillId="20" borderId="54" xfId="0" applyNumberFormat="1" applyFont="1" applyFill="1" applyBorder="1" applyAlignment="1">
      <alignment wrapText="1"/>
    </xf>
    <xf numFmtId="166" fontId="43" fillId="20" borderId="54" xfId="0" applyFont="1" applyFill="1" applyBorder="1" applyAlignment="1"/>
    <xf numFmtId="166" fontId="43" fillId="20" borderId="54" xfId="0" applyFont="1" applyFill="1" applyBorder="1" applyAlignment="1">
      <alignment wrapText="1"/>
    </xf>
    <xf numFmtId="164" fontId="32" fillId="31" borderId="54" xfId="0" applyNumberFormat="1" applyFont="1" applyFill="1" applyBorder="1" applyAlignment="1">
      <alignment vertical="center"/>
    </xf>
    <xf numFmtId="164" fontId="34" fillId="29" borderId="54" xfId="0" applyNumberFormat="1" applyFont="1" applyFill="1" applyBorder="1" applyAlignment="1">
      <alignment vertical="center" wrapText="1"/>
    </xf>
    <xf numFmtId="9" fontId="34" fillId="29" borderId="54" xfId="3" applyFont="1" applyFill="1" applyBorder="1" applyAlignment="1">
      <alignment vertical="center" wrapText="1"/>
    </xf>
    <xf numFmtId="164" fontId="34" fillId="0" borderId="0" xfId="0" applyNumberFormat="1" applyFont="1" applyFill="1" applyBorder="1" applyAlignment="1">
      <alignment vertical="center"/>
    </xf>
    <xf numFmtId="164" fontId="52" fillId="32" borderId="51" xfId="8" applyNumberFormat="1" applyFont="1" applyFill="1" applyBorder="1" applyAlignment="1">
      <alignment vertical="center" wrapText="1"/>
    </xf>
    <xf numFmtId="164" fontId="43" fillId="32" borderId="51" xfId="0" applyNumberFormat="1" applyFont="1" applyFill="1" applyBorder="1" applyAlignment="1">
      <alignment vertical="center" wrapText="1"/>
    </xf>
    <xf numFmtId="2" fontId="43" fillId="32" borderId="51" xfId="0" applyNumberFormat="1" applyFont="1" applyFill="1" applyBorder="1" applyAlignment="1">
      <alignment vertical="center" wrapText="1"/>
    </xf>
    <xf numFmtId="164" fontId="52" fillId="32" borderId="12" xfId="8" applyNumberFormat="1" applyFont="1" applyFill="1" applyBorder="1" applyAlignment="1">
      <alignment vertical="center" wrapText="1"/>
    </xf>
    <xf numFmtId="164" fontId="43" fillId="32" borderId="13" xfId="0" applyNumberFormat="1" applyFont="1" applyFill="1" applyBorder="1" applyAlignment="1">
      <alignment vertical="center" wrapText="1"/>
    </xf>
    <xf numFmtId="2" fontId="43" fillId="32" borderId="13" xfId="0" applyNumberFormat="1" applyFont="1" applyFill="1" applyBorder="1" applyAlignment="1">
      <alignment vertical="center" wrapText="1"/>
    </xf>
    <xf numFmtId="164" fontId="37" fillId="28" borderId="12" xfId="0" applyNumberFormat="1" applyFont="1" applyFill="1" applyBorder="1" applyAlignment="1">
      <alignment vertical="center" wrapText="1"/>
    </xf>
    <xf numFmtId="164" fontId="33" fillId="28" borderId="12" xfId="0" applyNumberFormat="1" applyFont="1" applyFill="1" applyBorder="1" applyAlignment="1">
      <alignment vertical="center"/>
    </xf>
    <xf numFmtId="166" fontId="52" fillId="28" borderId="12" xfId="0" applyFont="1" applyFill="1" applyBorder="1" applyAlignment="1">
      <alignment vertical="center" wrapText="1"/>
    </xf>
    <xf numFmtId="166" fontId="33" fillId="28" borderId="12" xfId="0" applyFont="1" applyFill="1" applyBorder="1" applyAlignment="1">
      <alignment vertical="center"/>
    </xf>
    <xf numFmtId="164" fontId="33" fillId="28" borderId="13" xfId="0" applyNumberFormat="1" applyFont="1" applyFill="1" applyBorder="1" applyAlignment="1">
      <alignment vertical="center"/>
    </xf>
    <xf numFmtId="164" fontId="43" fillId="28" borderId="20" xfId="0" applyNumberFormat="1" applyFont="1" applyFill="1" applyBorder="1" applyAlignment="1">
      <alignment vertical="center" wrapText="1"/>
    </xf>
    <xf numFmtId="166" fontId="43" fillId="29" borderId="51" xfId="0" applyFont="1" applyFill="1" applyBorder="1" applyAlignment="1">
      <alignment vertical="center" wrapText="1"/>
    </xf>
    <xf numFmtId="164" fontId="43" fillId="29" borderId="14" xfId="0" applyNumberFormat="1" applyFont="1" applyFill="1" applyBorder="1" applyAlignment="1">
      <alignment vertical="center" wrapText="1"/>
    </xf>
    <xf numFmtId="164" fontId="43" fillId="29" borderId="12" xfId="0" applyNumberFormat="1" applyFont="1" applyFill="1" applyBorder="1" applyAlignment="1">
      <alignment vertical="center" wrapText="1"/>
    </xf>
    <xf numFmtId="166" fontId="43" fillId="29" borderId="12" xfId="0" applyFont="1" applyFill="1" applyBorder="1" applyAlignment="1">
      <alignment vertical="center" wrapText="1"/>
    </xf>
    <xf numFmtId="166" fontId="43" fillId="29" borderId="13" xfId="0" applyFont="1" applyFill="1" applyBorder="1" applyAlignment="1">
      <alignment vertical="center" wrapText="1"/>
    </xf>
    <xf numFmtId="164" fontId="34" fillId="29" borderId="12" xfId="0" applyNumberFormat="1" applyFont="1" applyFill="1" applyBorder="1" applyAlignment="1">
      <alignment vertical="center" wrapText="1"/>
    </xf>
    <xf numFmtId="164" fontId="33" fillId="33" borderId="51" xfId="8" applyNumberFormat="1" applyFont="1" applyFill="1" applyBorder="1" applyAlignment="1">
      <alignment vertical="center"/>
    </xf>
    <xf numFmtId="164" fontId="43" fillId="33" borderId="51" xfId="7" applyNumberFormat="1" applyFont="1" applyFill="1" applyBorder="1" applyAlignment="1">
      <alignment vertical="center"/>
    </xf>
    <xf numFmtId="166" fontId="33" fillId="33" borderId="51" xfId="0" applyFont="1" applyFill="1" applyBorder="1" applyAlignment="1">
      <alignment vertical="center"/>
    </xf>
    <xf numFmtId="164" fontId="33" fillId="33" borderId="12" xfId="8" applyNumberFormat="1" applyFont="1" applyFill="1" applyBorder="1" applyAlignment="1">
      <alignment vertical="center"/>
    </xf>
    <xf numFmtId="166" fontId="33" fillId="33" borderId="12" xfId="0" applyFont="1" applyFill="1" applyBorder="1" applyAlignment="1">
      <alignment vertical="center"/>
    </xf>
    <xf numFmtId="164" fontId="33" fillId="33" borderId="54" xfId="8" applyNumberFormat="1" applyFont="1" applyFill="1" applyBorder="1" applyAlignment="1">
      <alignment vertical="center"/>
    </xf>
    <xf numFmtId="9" fontId="33" fillId="33" borderId="54" xfId="3" applyFont="1" applyFill="1" applyBorder="1" applyAlignment="1">
      <alignment vertical="center"/>
    </xf>
    <xf numFmtId="164" fontId="33" fillId="31" borderId="51" xfId="8" applyNumberFormat="1" applyFont="1" applyFill="1" applyBorder="1" applyAlignment="1">
      <alignment vertical="center"/>
    </xf>
    <xf numFmtId="166" fontId="33" fillId="31" borderId="51" xfId="0" applyFont="1" applyFill="1" applyBorder="1" applyAlignment="1">
      <alignment vertical="center"/>
    </xf>
    <xf numFmtId="164" fontId="33" fillId="31" borderId="12" xfId="8" applyNumberFormat="1" applyFont="1" applyFill="1" applyBorder="1" applyAlignment="1">
      <alignment vertical="center"/>
    </xf>
    <xf numFmtId="166" fontId="33" fillId="31" borderId="12" xfId="0" applyFont="1" applyFill="1" applyBorder="1" applyAlignment="1">
      <alignment vertical="center"/>
    </xf>
    <xf numFmtId="164" fontId="32" fillId="31" borderId="54" xfId="8" applyNumberFormat="1" applyFont="1" applyFill="1" applyBorder="1" applyAlignment="1">
      <alignment vertical="center"/>
    </xf>
    <xf numFmtId="9" fontId="32" fillId="31" borderId="54" xfId="3" applyFont="1" applyFill="1" applyBorder="1" applyAlignment="1">
      <alignment vertical="center"/>
    </xf>
    <xf numFmtId="164" fontId="33" fillId="29" borderId="12" xfId="8" applyNumberFormat="1" applyFont="1" applyFill="1" applyBorder="1" applyAlignment="1">
      <alignment vertical="center"/>
    </xf>
    <xf numFmtId="164" fontId="33" fillId="29" borderId="51" xfId="8" applyNumberFormat="1" applyFont="1" applyFill="1" applyBorder="1" applyAlignment="1">
      <alignment vertical="center"/>
    </xf>
    <xf numFmtId="164" fontId="52" fillId="29" borderId="51" xfId="8" applyNumberFormat="1" applyFont="1" applyFill="1" applyBorder="1" applyAlignment="1">
      <alignment vertical="center"/>
    </xf>
    <xf numFmtId="166" fontId="33" fillId="29" borderId="51" xfId="0" applyFont="1" applyFill="1" applyBorder="1" applyAlignment="1">
      <alignment vertical="center"/>
    </xf>
    <xf numFmtId="166" fontId="33" fillId="29" borderId="12" xfId="0" applyFont="1" applyFill="1" applyBorder="1" applyAlignment="1">
      <alignment vertical="center"/>
    </xf>
    <xf numFmtId="164" fontId="33" fillId="29" borderId="13" xfId="8" applyNumberFormat="1" applyFont="1" applyFill="1" applyBorder="1" applyAlignment="1">
      <alignment vertical="center"/>
    </xf>
    <xf numFmtId="164" fontId="33" fillId="29" borderId="23" xfId="0" applyNumberFormat="1" applyFont="1" applyFill="1" applyBorder="1" applyAlignment="1">
      <alignment vertical="center"/>
    </xf>
    <xf numFmtId="164" fontId="52" fillId="29" borderId="24" xfId="8" applyNumberFormat="1" applyFont="1" applyFill="1" applyBorder="1" applyAlignment="1">
      <alignment vertical="center"/>
    </xf>
    <xf numFmtId="166" fontId="33" fillId="29" borderId="13" xfId="0" applyFont="1" applyFill="1" applyBorder="1" applyAlignment="1">
      <alignment vertical="center"/>
    </xf>
    <xf numFmtId="164" fontId="52" fillId="0" borderId="0" xfId="8" applyNumberFormat="1" applyFont="1" applyFill="1" applyBorder="1" applyAlignment="1">
      <alignment vertical="center"/>
    </xf>
    <xf numFmtId="2" fontId="33" fillId="0" borderId="0" xfId="3" applyNumberFormat="1" applyFont="1" applyFill="1" applyBorder="1" applyAlignment="1">
      <alignment vertical="center"/>
    </xf>
    <xf numFmtId="166" fontId="33" fillId="0" borderId="0" xfId="0" applyFont="1" applyAlignment="1">
      <alignment vertical="center"/>
    </xf>
    <xf numFmtId="2" fontId="33" fillId="0" borderId="0" xfId="3" applyNumberFormat="1" applyFont="1" applyAlignment="1">
      <alignment vertical="center"/>
    </xf>
    <xf numFmtId="166" fontId="43" fillId="0" borderId="0" xfId="0" applyFont="1" applyFill="1" applyBorder="1" applyAlignment="1">
      <alignment horizontal="left" vertical="center" wrapText="1"/>
    </xf>
    <xf numFmtId="1" fontId="34" fillId="0" borderId="0" xfId="0" applyNumberFormat="1" applyFont="1" applyFill="1" applyBorder="1"/>
    <xf numFmtId="1" fontId="40" fillId="0" borderId="0" xfId="7" applyNumberFormat="1" applyFont="1" applyFill="1" applyBorder="1" applyAlignment="1">
      <alignment horizontal="right"/>
    </xf>
    <xf numFmtId="1" fontId="33" fillId="0" borderId="0" xfId="7" applyNumberFormat="1" applyFont="1" applyFill="1" applyAlignment="1">
      <alignment wrapText="1"/>
    </xf>
    <xf numFmtId="1" fontId="34" fillId="0" borderId="10" xfId="0" applyNumberFormat="1" applyFont="1" applyFill="1" applyBorder="1" applyAlignment="1">
      <alignment horizontal="center" wrapText="1"/>
    </xf>
    <xf numFmtId="1" fontId="43" fillId="0" borderId="0" xfId="0" applyNumberFormat="1" applyFont="1" applyFill="1"/>
    <xf numFmtId="1" fontId="43" fillId="0" borderId="51" xfId="0" applyNumberFormat="1" applyFont="1" applyFill="1" applyBorder="1" applyAlignment="1">
      <alignment horizontal="center" vertical="center" wrapText="1"/>
    </xf>
    <xf numFmtId="166" fontId="43" fillId="0" borderId="51" xfId="0" applyFont="1" applyFill="1" applyBorder="1" applyAlignment="1">
      <alignment vertical="center" wrapText="1"/>
    </xf>
    <xf numFmtId="1" fontId="43" fillId="0" borderId="12" xfId="0" applyNumberFormat="1" applyFont="1" applyFill="1" applyBorder="1" applyAlignment="1">
      <alignment horizontal="center" vertical="center" wrapText="1"/>
    </xf>
    <xf numFmtId="166" fontId="43" fillId="0" borderId="12" xfId="0" applyFont="1" applyFill="1" applyBorder="1" applyAlignment="1">
      <alignment vertical="center" wrapText="1"/>
    </xf>
    <xf numFmtId="1" fontId="43" fillId="0" borderId="54" xfId="0" applyNumberFormat="1" applyFont="1" applyFill="1" applyBorder="1" applyAlignment="1">
      <alignment horizontal="center" vertical="center" wrapText="1"/>
    </xf>
    <xf numFmtId="166" fontId="43" fillId="0" borderId="54" xfId="0" applyFont="1" applyFill="1" applyBorder="1" applyAlignment="1">
      <alignment vertical="center" wrapText="1"/>
    </xf>
    <xf numFmtId="166" fontId="43" fillId="0" borderId="51" xfId="0" applyFont="1" applyFill="1" applyBorder="1" applyAlignment="1">
      <alignment horizontal="left" vertical="center" wrapText="1"/>
    </xf>
    <xf numFmtId="166" fontId="43" fillId="0" borderId="12" xfId="0" applyFont="1" applyFill="1" applyBorder="1" applyAlignment="1">
      <alignment horizontal="left" vertical="center"/>
    </xf>
    <xf numFmtId="166" fontId="43" fillId="0" borderId="12" xfId="0" applyFont="1" applyFill="1" applyBorder="1" applyAlignment="1">
      <alignment horizontal="left" vertical="center" wrapText="1"/>
    </xf>
    <xf numFmtId="166" fontId="43" fillId="0" borderId="54" xfId="0" applyFont="1" applyFill="1" applyBorder="1" applyAlignment="1">
      <alignment horizontal="left" vertical="center" wrapText="1"/>
    </xf>
    <xf numFmtId="166" fontId="43" fillId="0" borderId="58" xfId="0" applyFont="1" applyFill="1" applyBorder="1" applyAlignment="1">
      <alignment vertical="center" wrapText="1"/>
    </xf>
    <xf numFmtId="166" fontId="43" fillId="0" borderId="16" xfId="0" applyFont="1" applyFill="1" applyBorder="1" applyAlignment="1">
      <alignment vertical="center" wrapText="1"/>
    </xf>
    <xf numFmtId="166" fontId="43" fillId="0" borderId="59" xfId="0" applyFont="1" applyFill="1" applyBorder="1" applyAlignment="1">
      <alignment vertical="center" wrapText="1"/>
    </xf>
    <xf numFmtId="164" fontId="52" fillId="28" borderId="14" xfId="8" applyNumberFormat="1" applyFont="1" applyFill="1" applyBorder="1" applyAlignment="1">
      <alignment vertical="center" wrapText="1"/>
    </xf>
    <xf numFmtId="164" fontId="33" fillId="28" borderId="14" xfId="0" applyNumberFormat="1" applyFont="1" applyFill="1" applyBorder="1" applyAlignment="1">
      <alignment vertical="center"/>
    </xf>
    <xf numFmtId="2" fontId="34" fillId="28" borderId="14" xfId="0" applyNumberFormat="1" applyFont="1" applyFill="1" applyBorder="1" applyAlignment="1">
      <alignment vertical="center" wrapText="1"/>
    </xf>
    <xf numFmtId="164" fontId="52" fillId="32" borderId="54" xfId="8" applyNumberFormat="1" applyFont="1" applyFill="1" applyBorder="1" applyAlignment="1">
      <alignment vertical="center" wrapText="1"/>
    </xf>
    <xf numFmtId="164" fontId="43" fillId="32" borderId="35" xfId="0" applyNumberFormat="1" applyFont="1" applyFill="1" applyBorder="1" applyAlignment="1">
      <alignment vertical="center" wrapText="1"/>
    </xf>
    <xf numFmtId="164" fontId="43" fillId="32" borderId="54" xfId="0" applyNumberFormat="1" applyFont="1" applyFill="1" applyBorder="1" applyAlignment="1">
      <alignment vertical="center" wrapText="1"/>
    </xf>
    <xf numFmtId="9" fontId="43" fillId="32" borderId="54" xfId="3" applyFont="1" applyFill="1" applyBorder="1" applyAlignment="1">
      <alignment vertical="center" wrapText="1"/>
    </xf>
    <xf numFmtId="1" fontId="33" fillId="0" borderId="19" xfId="0" applyNumberFormat="1" applyFont="1" applyFill="1" applyBorder="1" applyAlignment="1">
      <alignment horizontal="center" vertical="center"/>
    </xf>
    <xf numFmtId="1" fontId="33" fillId="0" borderId="11" xfId="0" applyNumberFormat="1" applyFont="1" applyFill="1" applyBorder="1" applyAlignment="1">
      <alignment horizontal="center" vertical="center" wrapText="1"/>
    </xf>
    <xf numFmtId="1" fontId="0" fillId="0" borderId="0" xfId="0" applyNumberFormat="1" applyAlignment="1">
      <alignment horizontal="right" vertical="center"/>
    </xf>
    <xf numFmtId="0" fontId="0" fillId="0" borderId="0" xfId="0" applyNumberFormat="1"/>
    <xf numFmtId="9" fontId="0" fillId="0" borderId="0" xfId="0" applyNumberFormat="1" applyAlignment="1">
      <alignment horizontal="right"/>
    </xf>
    <xf numFmtId="9" fontId="0" fillId="0" borderId="0" xfId="3" applyNumberFormat="1" applyFont="1" applyAlignment="1">
      <alignment horizontal="right"/>
    </xf>
    <xf numFmtId="49" fontId="32" fillId="16" borderId="0" xfId="0" applyNumberFormat="1" applyFont="1" applyFill="1"/>
    <xf numFmtId="166" fontId="55" fillId="0" borderId="0" xfId="0" applyFont="1" applyAlignment="1">
      <alignment horizontal="center" vertical="center" wrapText="1"/>
    </xf>
    <xf numFmtId="1" fontId="33" fillId="0" borderId="0" xfId="0" applyNumberFormat="1" applyFont="1" applyFill="1" applyBorder="1" applyAlignment="1">
      <alignment horizontal="center"/>
    </xf>
    <xf numFmtId="1" fontId="33" fillId="0" borderId="0" xfId="0" applyNumberFormat="1" applyFont="1" applyFill="1" applyBorder="1"/>
    <xf numFmtId="2" fontId="59" fillId="0" borderId="0" xfId="0" applyNumberFormat="1" applyFont="1" applyFill="1" applyBorder="1"/>
    <xf numFmtId="2" fontId="33" fillId="0" borderId="0" xfId="0" applyNumberFormat="1" applyFont="1" applyFill="1" applyBorder="1"/>
    <xf numFmtId="49" fontId="0" fillId="0" borderId="0" xfId="0" applyNumberFormat="1" applyBorder="1"/>
    <xf numFmtId="166" fontId="38" fillId="0" borderId="0" xfId="0" applyFont="1" applyFill="1" applyBorder="1" applyAlignment="1">
      <alignment horizontal="center" vertical="center" wrapText="1"/>
    </xf>
    <xf numFmtId="164" fontId="55" fillId="0" borderId="0" xfId="0" applyNumberFormat="1" applyFont="1" applyAlignment="1">
      <alignment horizontal="center" vertical="center" wrapText="1"/>
    </xf>
    <xf numFmtId="166" fontId="55" fillId="0" borderId="0" xfId="0" applyFont="1" applyFill="1" applyBorder="1" applyAlignment="1">
      <alignment horizontal="center" vertical="center" wrapText="1"/>
    </xf>
    <xf numFmtId="166" fontId="55" fillId="0" borderId="0" xfId="0" applyFont="1" applyBorder="1" applyAlignment="1">
      <alignment horizontal="center" vertical="center" wrapText="1"/>
    </xf>
    <xf numFmtId="166" fontId="33" fillId="0" borderId="0" xfId="0" applyFont="1" applyBorder="1" applyAlignment="1">
      <alignment horizontal="center" vertical="center" wrapText="1"/>
    </xf>
    <xf numFmtId="164" fontId="33" fillId="0" borderId="0" xfId="0" applyNumberFormat="1" applyFont="1" applyAlignment="1">
      <alignment horizontal="center" vertical="center" wrapText="1"/>
    </xf>
    <xf numFmtId="166" fontId="33" fillId="0" borderId="0" xfId="0" applyFont="1" applyAlignment="1">
      <alignment horizontal="center" vertical="center" wrapText="1"/>
    </xf>
    <xf numFmtId="166" fontId="33" fillId="0" borderId="0" xfId="0" applyFont="1" applyFill="1" applyBorder="1" applyAlignment="1">
      <alignment horizontal="center" vertical="center" wrapText="1"/>
    </xf>
    <xf numFmtId="166" fontId="32" fillId="0" borderId="0" xfId="0" applyFont="1" applyFill="1" applyBorder="1" applyAlignment="1">
      <alignment horizontal="center" vertical="center"/>
    </xf>
    <xf numFmtId="164" fontId="32" fillId="0" borderId="0"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xf>
    <xf numFmtId="166" fontId="13" fillId="0" borderId="0" xfId="0" applyFont="1" applyFill="1" applyBorder="1" applyAlignment="1">
      <alignment horizontal="center" vertical="center"/>
    </xf>
    <xf numFmtId="166" fontId="62" fillId="0" borderId="0" xfId="0" applyFont="1" applyFill="1" applyBorder="1" applyAlignment="1">
      <alignment horizontal="center" vertical="center"/>
    </xf>
    <xf numFmtId="166" fontId="62" fillId="0" borderId="0" xfId="0" applyFont="1" applyFill="1" applyBorder="1" applyAlignment="1">
      <alignment horizontal="center" vertical="center" wrapText="1"/>
    </xf>
    <xf numFmtId="166" fontId="62" fillId="13" borderId="0" xfId="0" applyFont="1" applyFill="1" applyBorder="1" applyAlignment="1">
      <alignment horizontal="center" vertical="center"/>
    </xf>
    <xf numFmtId="166" fontId="65" fillId="0" borderId="0" xfId="0" applyFont="1" applyFill="1" applyBorder="1" applyAlignment="1">
      <alignment horizontal="center" vertical="center"/>
    </xf>
    <xf numFmtId="166" fontId="33" fillId="0" borderId="0" xfId="0" applyFont="1" applyBorder="1" applyAlignment="1">
      <alignment horizontal="center" vertical="center"/>
    </xf>
    <xf numFmtId="164" fontId="33" fillId="0" borderId="0" xfId="0" applyNumberFormat="1" applyFont="1" applyBorder="1" applyAlignment="1">
      <alignment horizontal="center" vertical="center"/>
    </xf>
    <xf numFmtId="166" fontId="65" fillId="0" borderId="0" xfId="0" applyFont="1" applyBorder="1" applyAlignment="1">
      <alignment horizontal="center" vertical="center"/>
    </xf>
    <xf numFmtId="166" fontId="13" fillId="0" borderId="0" xfId="0" applyFont="1" applyBorder="1" applyAlignment="1">
      <alignment horizontal="center" vertical="center"/>
    </xf>
    <xf numFmtId="166" fontId="62" fillId="13" borderId="0" xfId="0" applyFont="1" applyFill="1" applyAlignment="1">
      <alignment horizontal="center" vertical="center" wrapText="1"/>
    </xf>
    <xf numFmtId="166" fontId="65" fillId="0" borderId="0" xfId="0" applyFont="1" applyFill="1" applyAlignment="1">
      <alignment horizontal="center" vertical="center"/>
    </xf>
    <xf numFmtId="166" fontId="65" fillId="0" borderId="0" xfId="0" applyFont="1" applyAlignment="1">
      <alignment horizontal="center" vertical="center"/>
    </xf>
    <xf numFmtId="166" fontId="13" fillId="0" borderId="0" xfId="0" applyFont="1" applyAlignment="1">
      <alignment horizontal="center" vertical="center"/>
    </xf>
    <xf numFmtId="1" fontId="37" fillId="0" borderId="0" xfId="3" applyNumberFormat="1" applyFont="1" applyFill="1" applyBorder="1" applyAlignment="1">
      <alignment horizontal="center" vertical="center" wrapText="1"/>
    </xf>
    <xf numFmtId="1" fontId="32" fillId="0" borderId="0" xfId="0" applyNumberFormat="1" applyFont="1" applyFill="1" applyAlignment="1">
      <alignment horizontal="center" vertical="center"/>
    </xf>
    <xf numFmtId="1" fontId="32" fillId="0" borderId="0" xfId="0" applyNumberFormat="1" applyFont="1" applyAlignment="1">
      <alignment horizontal="center" vertical="center"/>
    </xf>
    <xf numFmtId="164" fontId="32" fillId="0" borderId="0" xfId="0" applyNumberFormat="1" applyFont="1" applyAlignment="1">
      <alignment horizontal="center" vertical="center"/>
    </xf>
    <xf numFmtId="164" fontId="13" fillId="0" borderId="0" xfId="0" applyNumberFormat="1" applyFont="1" applyAlignment="1">
      <alignment horizontal="center" vertical="center"/>
    </xf>
    <xf numFmtId="164" fontId="33" fillId="0" borderId="0" xfId="0" applyNumberFormat="1" applyFont="1" applyAlignment="1">
      <alignment horizontal="center" vertical="center"/>
    </xf>
    <xf numFmtId="166" fontId="33" fillId="0" borderId="0" xfId="0" applyFont="1" applyAlignment="1">
      <alignment horizontal="center" vertical="center"/>
    </xf>
    <xf numFmtId="166" fontId="62" fillId="13" borderId="0" xfId="0" applyFont="1" applyFill="1" applyAlignment="1">
      <alignment horizontal="center" vertical="center"/>
    </xf>
    <xf numFmtId="164" fontId="33" fillId="0" borderId="0" xfId="0" applyNumberFormat="1" applyFont="1" applyFill="1" applyAlignment="1">
      <alignment horizontal="center" vertical="center"/>
    </xf>
    <xf numFmtId="166" fontId="62" fillId="0" borderId="0" xfId="0" applyFont="1" applyFill="1" applyAlignment="1">
      <alignment horizontal="center" vertical="center"/>
    </xf>
    <xf numFmtId="166" fontId="13" fillId="0" borderId="0" xfId="0" applyFont="1" applyFill="1" applyAlignment="1">
      <alignment horizontal="center" vertical="center"/>
    </xf>
    <xf numFmtId="164" fontId="32" fillId="0" borderId="0" xfId="0" applyNumberFormat="1" applyFont="1" applyFill="1" applyAlignment="1">
      <alignment horizontal="center" vertical="center"/>
    </xf>
    <xf numFmtId="164" fontId="13" fillId="0" borderId="0" xfId="0" applyNumberFormat="1" applyFont="1" applyFill="1" applyAlignment="1">
      <alignment horizontal="center" vertical="center"/>
    </xf>
    <xf numFmtId="164" fontId="59" fillId="0" borderId="0" xfId="0" applyNumberFormat="1" applyFont="1" applyAlignment="1">
      <alignment horizontal="center" vertical="center"/>
    </xf>
    <xf numFmtId="166" fontId="9" fillId="0" borderId="0" xfId="0" applyFont="1" applyBorder="1" applyAlignment="1">
      <alignment horizontal="center" vertical="center"/>
    </xf>
    <xf numFmtId="1" fontId="37" fillId="35" borderId="0" xfId="0" applyNumberFormat="1" applyFont="1" applyFill="1" applyAlignment="1">
      <alignment horizontal="center" vertical="center" textRotation="90" wrapText="1"/>
    </xf>
    <xf numFmtId="164" fontId="37" fillId="35" borderId="0" xfId="0" applyNumberFormat="1" applyFont="1" applyFill="1" applyAlignment="1">
      <alignment horizontal="center" vertical="center" textRotation="90" wrapText="1"/>
    </xf>
    <xf numFmtId="164" fontId="37" fillId="35" borderId="0" xfId="0" applyNumberFormat="1" applyFont="1" applyFill="1" applyBorder="1" applyAlignment="1">
      <alignment horizontal="center" vertical="center" textRotation="90" wrapText="1"/>
    </xf>
    <xf numFmtId="166" fontId="37" fillId="35" borderId="0" xfId="0" applyFont="1" applyFill="1" applyBorder="1" applyAlignment="1">
      <alignment horizontal="center" vertical="center" textRotation="90" wrapText="1"/>
    </xf>
    <xf numFmtId="1" fontId="37" fillId="35" borderId="0" xfId="3" applyNumberFormat="1" applyFont="1" applyFill="1" applyBorder="1" applyAlignment="1">
      <alignment horizontal="center" vertical="center" textRotation="90" wrapText="1"/>
    </xf>
    <xf numFmtId="166" fontId="67" fillId="35" borderId="0" xfId="0" applyFont="1" applyFill="1" applyBorder="1" applyAlignment="1">
      <alignment horizontal="center" vertical="center" textRotation="90" wrapText="1"/>
    </xf>
    <xf numFmtId="166" fontId="67" fillId="35" borderId="0" xfId="0" applyFont="1" applyFill="1" applyAlignment="1">
      <alignment horizontal="center" vertical="center" textRotation="90" wrapText="1"/>
    </xf>
    <xf numFmtId="166" fontId="65" fillId="35" borderId="0" xfId="0" applyFont="1" applyFill="1" applyAlignment="1">
      <alignment horizontal="center" vertical="center" textRotation="90" wrapText="1"/>
    </xf>
    <xf numFmtId="166" fontId="37" fillId="35" borderId="0" xfId="0" applyFont="1" applyFill="1" applyAlignment="1">
      <alignment horizontal="center" vertical="center" textRotation="90" wrapText="1"/>
    </xf>
    <xf numFmtId="1" fontId="32" fillId="35" borderId="0" xfId="0" applyNumberFormat="1" applyFont="1" applyFill="1" applyAlignment="1">
      <alignment horizontal="center" vertical="center" wrapText="1"/>
    </xf>
    <xf numFmtId="164" fontId="32" fillId="35" borderId="0" xfId="0" applyNumberFormat="1" applyFont="1" applyFill="1" applyAlignment="1">
      <alignment horizontal="center" vertical="center" wrapText="1"/>
    </xf>
    <xf numFmtId="164" fontId="33" fillId="35" borderId="0" xfId="0" applyNumberFormat="1" applyFont="1" applyFill="1" applyAlignment="1">
      <alignment horizontal="center" vertical="center" wrapText="1"/>
    </xf>
    <xf numFmtId="164" fontId="33" fillId="35" borderId="0" xfId="0" applyNumberFormat="1" applyFont="1" applyFill="1" applyBorder="1" applyAlignment="1">
      <alignment horizontal="center" vertical="center" wrapText="1"/>
    </xf>
    <xf numFmtId="2" fontId="33" fillId="35" borderId="0" xfId="3" applyNumberFormat="1" applyFont="1" applyFill="1" applyBorder="1" applyAlignment="1">
      <alignment horizontal="center" vertical="center" wrapText="1"/>
    </xf>
    <xf numFmtId="9" fontId="33" fillId="35" borderId="0" xfId="3" applyFont="1" applyFill="1" applyBorder="1" applyAlignment="1">
      <alignment horizontal="center" vertical="center" wrapText="1"/>
    </xf>
    <xf numFmtId="1" fontId="33" fillId="35" borderId="0" xfId="3" applyNumberFormat="1" applyFont="1" applyFill="1" applyBorder="1" applyAlignment="1">
      <alignment horizontal="center" vertical="center" wrapText="1"/>
    </xf>
    <xf numFmtId="164" fontId="38" fillId="35" borderId="0" xfId="0" applyNumberFormat="1" applyFont="1" applyFill="1" applyBorder="1" applyAlignment="1">
      <alignment horizontal="center" vertical="center" wrapText="1"/>
    </xf>
    <xf numFmtId="166" fontId="38" fillId="35" borderId="0" xfId="0" applyFont="1" applyFill="1" applyBorder="1" applyAlignment="1">
      <alignment horizontal="center" vertical="center" wrapText="1"/>
    </xf>
    <xf numFmtId="166" fontId="33" fillId="35" borderId="0" xfId="0" applyFont="1" applyFill="1" applyBorder="1" applyAlignment="1">
      <alignment horizontal="center" vertical="center" wrapText="1"/>
    </xf>
    <xf numFmtId="166" fontId="68" fillId="35" borderId="0" xfId="0" applyFont="1" applyFill="1" applyBorder="1" applyAlignment="1">
      <alignment horizontal="center" vertical="center" wrapText="1"/>
    </xf>
    <xf numFmtId="166" fontId="68" fillId="35" borderId="0" xfId="0" applyFont="1" applyFill="1" applyAlignment="1">
      <alignment horizontal="center" vertical="center" wrapText="1"/>
    </xf>
    <xf numFmtId="166" fontId="65" fillId="35" borderId="0" xfId="0" applyFont="1" applyFill="1" applyAlignment="1">
      <alignment horizontal="center" vertical="center" wrapText="1"/>
    </xf>
    <xf numFmtId="166" fontId="38" fillId="35" borderId="0" xfId="0" applyFont="1" applyFill="1" applyAlignment="1">
      <alignment horizontal="center" vertical="center" wrapText="1"/>
    </xf>
    <xf numFmtId="165" fontId="33" fillId="18" borderId="0" xfId="0" applyNumberFormat="1" applyFont="1" applyFill="1" applyAlignment="1">
      <alignment horizontal="center" vertical="center"/>
    </xf>
    <xf numFmtId="164" fontId="33" fillId="5" borderId="0" xfId="0" applyNumberFormat="1" applyFont="1" applyFill="1" applyAlignment="1">
      <alignment horizontal="center" vertical="center"/>
    </xf>
    <xf numFmtId="164" fontId="33" fillId="18" borderId="0" xfId="0" applyNumberFormat="1" applyFont="1" applyFill="1" applyAlignment="1">
      <alignment horizontal="center" vertical="center"/>
    </xf>
    <xf numFmtId="165" fontId="33" fillId="0" borderId="0" xfId="0" applyNumberFormat="1" applyFont="1" applyFill="1" applyBorder="1" applyAlignment="1">
      <alignment horizontal="center" vertical="center"/>
    </xf>
    <xf numFmtId="165" fontId="33" fillId="5" borderId="0" xfId="0" applyNumberFormat="1" applyFont="1" applyFill="1" applyBorder="1" applyAlignment="1">
      <alignment horizontal="center" vertical="center"/>
    </xf>
    <xf numFmtId="4" fontId="33" fillId="5" borderId="0" xfId="0" applyNumberFormat="1" applyFont="1" applyFill="1" applyBorder="1" applyAlignment="1">
      <alignment horizontal="center" vertical="center"/>
    </xf>
    <xf numFmtId="165" fontId="33" fillId="18" borderId="0" xfId="0" applyNumberFormat="1" applyFont="1" applyFill="1" applyBorder="1" applyAlignment="1">
      <alignment horizontal="center" vertical="center"/>
    </xf>
    <xf numFmtId="4" fontId="33" fillId="18" borderId="0" xfId="0" applyNumberFormat="1" applyFont="1" applyFill="1" applyBorder="1" applyAlignment="1">
      <alignment horizontal="center" vertical="center"/>
    </xf>
    <xf numFmtId="165" fontId="33" fillId="0" borderId="0" xfId="0" applyNumberFormat="1" applyFont="1" applyBorder="1" applyAlignment="1">
      <alignment horizontal="center" vertical="center"/>
    </xf>
    <xf numFmtId="165" fontId="62" fillId="18" borderId="0" xfId="0" applyNumberFormat="1" applyFont="1" applyFill="1" applyBorder="1" applyAlignment="1">
      <alignment horizontal="center" vertical="center"/>
    </xf>
    <xf numFmtId="165" fontId="62" fillId="13" borderId="0" xfId="0" applyNumberFormat="1" applyFont="1" applyFill="1" applyAlignment="1">
      <alignment horizontal="center" vertical="center"/>
    </xf>
    <xf numFmtId="165" fontId="62" fillId="18" borderId="0" xfId="0" applyNumberFormat="1" applyFont="1" applyFill="1" applyAlignment="1">
      <alignment horizontal="center" vertical="center"/>
    </xf>
    <xf numFmtId="2" fontId="33" fillId="12" borderId="0" xfId="0" applyNumberFormat="1" applyFont="1" applyFill="1" applyAlignment="1">
      <alignment horizontal="center" vertical="center"/>
    </xf>
    <xf numFmtId="164" fontId="33" fillId="12" borderId="0" xfId="0" applyNumberFormat="1" applyFont="1" applyFill="1" applyAlignment="1">
      <alignment horizontal="center" vertical="center"/>
    </xf>
    <xf numFmtId="166" fontId="33" fillId="12" borderId="0" xfId="0" applyFont="1" applyFill="1" applyAlignment="1">
      <alignment horizontal="center" vertical="center"/>
    </xf>
    <xf numFmtId="166" fontId="33" fillId="12" borderId="0" xfId="0" applyFont="1" applyFill="1" applyBorder="1" applyAlignment="1">
      <alignment horizontal="center" vertical="center"/>
    </xf>
    <xf numFmtId="2" fontId="33" fillId="12" borderId="0" xfId="3" applyNumberFormat="1" applyFont="1" applyFill="1" applyBorder="1" applyAlignment="1">
      <alignment horizontal="center" vertical="center"/>
    </xf>
    <xf numFmtId="9" fontId="33" fillId="12" borderId="0" xfId="3" applyFont="1" applyFill="1" applyBorder="1" applyAlignment="1">
      <alignment horizontal="center" vertical="center"/>
    </xf>
    <xf numFmtId="1" fontId="33" fillId="12" borderId="0" xfId="3" applyNumberFormat="1" applyFont="1" applyFill="1" applyBorder="1" applyAlignment="1">
      <alignment horizontal="center" vertical="center"/>
    </xf>
    <xf numFmtId="165" fontId="33" fillId="12" borderId="0" xfId="0" applyNumberFormat="1" applyFont="1" applyFill="1" applyBorder="1" applyAlignment="1">
      <alignment horizontal="center" vertical="center"/>
    </xf>
    <xf numFmtId="164" fontId="33" fillId="12" borderId="0" xfId="0" applyNumberFormat="1" applyFont="1" applyFill="1" applyBorder="1" applyAlignment="1">
      <alignment horizontal="center" vertical="center"/>
    </xf>
    <xf numFmtId="2" fontId="33" fillId="12" borderId="0" xfId="0" applyNumberFormat="1" applyFont="1" applyFill="1" applyBorder="1" applyAlignment="1">
      <alignment horizontal="center" vertical="center"/>
    </xf>
    <xf numFmtId="1" fontId="66" fillId="12" borderId="0" xfId="0" applyNumberFormat="1" applyFont="1" applyFill="1" applyBorder="1" applyAlignment="1">
      <alignment horizontal="center" vertical="center"/>
    </xf>
    <xf numFmtId="2" fontId="62" fillId="12" borderId="0" xfId="0" applyNumberFormat="1" applyFont="1" applyFill="1" applyBorder="1" applyAlignment="1">
      <alignment horizontal="center" vertical="center"/>
    </xf>
    <xf numFmtId="2" fontId="62" fillId="13" borderId="0" xfId="0" applyNumberFormat="1" applyFont="1" applyFill="1" applyAlignment="1">
      <alignment horizontal="center" vertical="center"/>
    </xf>
    <xf numFmtId="2" fontId="66" fillId="12" borderId="2" xfId="0" applyNumberFormat="1" applyFont="1" applyFill="1" applyBorder="1" applyAlignment="1">
      <alignment horizontal="center" vertical="center"/>
    </xf>
    <xf numFmtId="2" fontId="66" fillId="12" borderId="5" xfId="0" applyNumberFormat="1" applyFont="1" applyFill="1" applyBorder="1" applyAlignment="1">
      <alignment horizontal="center" vertical="center"/>
    </xf>
    <xf numFmtId="1" fontId="66" fillId="12" borderId="8" xfId="0" applyNumberFormat="1" applyFont="1" applyFill="1" applyBorder="1" applyAlignment="1">
      <alignment horizontal="center" vertical="center"/>
    </xf>
    <xf numFmtId="1" fontId="66" fillId="12" borderId="10" xfId="0" applyNumberFormat="1" applyFont="1" applyFill="1" applyBorder="1" applyAlignment="1">
      <alignment horizontal="center" vertical="center"/>
    </xf>
    <xf numFmtId="2" fontId="66" fillId="12" borderId="11" xfId="0" applyNumberFormat="1" applyFont="1" applyFill="1" applyBorder="1" applyAlignment="1">
      <alignment horizontal="center" vertical="center"/>
    </xf>
    <xf numFmtId="166" fontId="0" fillId="0" borderId="0" xfId="0" applyAlignment="1">
      <alignment horizontal="center" vertical="center"/>
    </xf>
    <xf numFmtId="1" fontId="33" fillId="0" borderId="0" xfId="0" applyNumberFormat="1" applyFont="1" applyAlignment="1">
      <alignment horizontal="center" vertical="center"/>
    </xf>
    <xf numFmtId="166" fontId="66" fillId="0" borderId="0" xfId="0" applyFont="1" applyFill="1" applyBorder="1" applyAlignment="1">
      <alignment horizontal="center" vertical="center"/>
    </xf>
    <xf numFmtId="166" fontId="57" fillId="0" borderId="27" xfId="0" applyFont="1" applyBorder="1" applyAlignment="1">
      <alignment horizontal="center" vertical="center"/>
    </xf>
    <xf numFmtId="1" fontId="33" fillId="13" borderId="0" xfId="0" applyNumberFormat="1" applyFont="1" applyFill="1" applyBorder="1" applyAlignment="1">
      <alignment horizontal="center" vertical="center"/>
    </xf>
    <xf numFmtId="164" fontId="33" fillId="13" borderId="0" xfId="0" applyNumberFormat="1" applyFont="1" applyFill="1" applyBorder="1" applyAlignment="1">
      <alignment horizontal="center" vertical="center"/>
    </xf>
    <xf numFmtId="166" fontId="33" fillId="13" borderId="0" xfId="0" applyFont="1" applyFill="1" applyBorder="1" applyAlignment="1">
      <alignment horizontal="center" vertical="center"/>
    </xf>
    <xf numFmtId="166" fontId="65" fillId="13" borderId="0" xfId="0" applyFont="1" applyFill="1" applyBorder="1" applyAlignment="1">
      <alignment horizontal="center" vertical="center"/>
    </xf>
    <xf numFmtId="166" fontId="13" fillId="13" borderId="0" xfId="0" applyFont="1" applyFill="1" applyBorder="1" applyAlignment="1">
      <alignment horizontal="center" vertical="center"/>
    </xf>
    <xf numFmtId="1" fontId="33" fillId="12" borderId="0" xfId="0" applyNumberFormat="1" applyFont="1" applyFill="1" applyAlignment="1">
      <alignment horizontal="center" vertical="center"/>
    </xf>
    <xf numFmtId="164" fontId="33" fillId="27" borderId="0" xfId="0" applyNumberFormat="1" applyFont="1" applyFill="1" applyBorder="1" applyAlignment="1">
      <alignment horizontal="center" vertical="center"/>
    </xf>
    <xf numFmtId="166" fontId="33" fillId="27" borderId="0" xfId="0" applyFont="1" applyFill="1" applyBorder="1" applyAlignment="1">
      <alignment horizontal="center" vertical="center"/>
    </xf>
    <xf numFmtId="166" fontId="33" fillId="0" borderId="0" xfId="0" applyFont="1" applyFill="1" applyAlignment="1">
      <alignment horizontal="center" vertical="center"/>
    </xf>
    <xf numFmtId="2" fontId="33" fillId="0" borderId="0" xfId="3" applyNumberFormat="1" applyFont="1" applyFill="1" applyBorder="1" applyAlignment="1">
      <alignment horizontal="center" vertical="center"/>
    </xf>
    <xf numFmtId="9" fontId="33" fillId="0" borderId="0" xfId="3" applyFont="1" applyFill="1" applyBorder="1" applyAlignment="1">
      <alignment horizontal="center" vertical="center"/>
    </xf>
    <xf numFmtId="1" fontId="33" fillId="0" borderId="0" xfId="3" applyNumberFormat="1" applyFont="1" applyFill="1" applyBorder="1" applyAlignment="1">
      <alignment horizontal="center" vertical="center"/>
    </xf>
    <xf numFmtId="1" fontId="66" fillId="0" borderId="0" xfId="0" applyNumberFormat="1" applyFont="1" applyFill="1" applyBorder="1" applyAlignment="1">
      <alignment horizontal="center" vertical="center"/>
    </xf>
    <xf numFmtId="2" fontId="62" fillId="0" borderId="0" xfId="0" applyNumberFormat="1" applyFont="1" applyFill="1" applyBorder="1" applyAlignment="1">
      <alignment horizontal="center" vertical="center"/>
    </xf>
    <xf numFmtId="2" fontId="62" fillId="0" borderId="0" xfId="0" applyNumberFormat="1" applyFont="1" applyFill="1" applyAlignment="1">
      <alignment horizontal="center" vertical="center"/>
    </xf>
    <xf numFmtId="2" fontId="66" fillId="0" borderId="0" xfId="0" applyNumberFormat="1" applyFont="1" applyFill="1" applyBorder="1" applyAlignment="1">
      <alignment horizontal="center" vertical="center"/>
    </xf>
    <xf numFmtId="2" fontId="66" fillId="0" borderId="37" xfId="0" applyNumberFormat="1" applyFont="1" applyFill="1" applyBorder="1" applyAlignment="1">
      <alignment horizontal="center" vertical="center"/>
    </xf>
    <xf numFmtId="1" fontId="66" fillId="0" borderId="3" xfId="0" applyNumberFormat="1" applyFont="1" applyFill="1" applyBorder="1" applyAlignment="1">
      <alignment horizontal="center" vertical="center"/>
    </xf>
    <xf numFmtId="1" fontId="66" fillId="0" borderId="6" xfId="0" applyNumberFormat="1" applyFont="1" applyFill="1" applyBorder="1" applyAlignment="1">
      <alignment horizontal="center" vertical="center"/>
    </xf>
    <xf numFmtId="2" fontId="66" fillId="0" borderId="19" xfId="0" applyNumberFormat="1" applyFont="1" applyFill="1" applyBorder="1" applyAlignment="1">
      <alignment horizontal="center" vertical="center"/>
    </xf>
    <xf numFmtId="166" fontId="0" fillId="0" borderId="0" xfId="0" applyFill="1" applyAlignment="1">
      <alignment horizontal="center" vertical="center"/>
    </xf>
    <xf numFmtId="1" fontId="9" fillId="0" borderId="0" xfId="0" applyNumberFormat="1" applyFont="1" applyBorder="1" applyAlignment="1">
      <alignment horizontal="center" vertical="center"/>
    </xf>
    <xf numFmtId="164" fontId="11" fillId="39" borderId="0" xfId="0" applyNumberFormat="1" applyFont="1" applyFill="1" applyBorder="1" applyAlignment="1">
      <alignment horizontal="center" vertical="center"/>
    </xf>
    <xf numFmtId="164" fontId="0" fillId="39" borderId="0" xfId="0" applyNumberFormat="1" applyFill="1" applyAlignment="1">
      <alignment horizontal="center" vertical="center"/>
    </xf>
    <xf numFmtId="164" fontId="11" fillId="0" borderId="0" xfId="0" applyNumberFormat="1" applyFont="1" applyFill="1" applyBorder="1" applyAlignment="1">
      <alignment horizontal="center" vertical="center"/>
    </xf>
    <xf numFmtId="166" fontId="0" fillId="0" borderId="0" xfId="0" applyBorder="1" applyAlignment="1">
      <alignment horizontal="center" vertical="center"/>
    </xf>
    <xf numFmtId="166" fontId="0" fillId="0" borderId="0" xfId="0" applyFill="1" applyBorder="1" applyAlignment="1">
      <alignment horizontal="center" vertical="center"/>
    </xf>
    <xf numFmtId="165" fontId="33" fillId="18" borderId="2" xfId="0" applyNumberFormat="1" applyFont="1" applyFill="1" applyBorder="1" applyAlignment="1">
      <alignment horizontal="center" vertical="center"/>
    </xf>
    <xf numFmtId="165" fontId="33" fillId="18" borderId="5" xfId="0" applyNumberFormat="1" applyFont="1" applyFill="1" applyBorder="1" applyAlignment="1">
      <alignment horizontal="center" vertical="center"/>
    </xf>
    <xf numFmtId="164" fontId="0" fillId="39" borderId="0" xfId="0" applyNumberFormat="1" applyFill="1" applyBorder="1" applyAlignment="1">
      <alignment horizontal="center" vertical="center"/>
    </xf>
    <xf numFmtId="164" fontId="33" fillId="39" borderId="0" xfId="0" applyNumberFormat="1" applyFont="1" applyFill="1" applyBorder="1" applyAlignment="1">
      <alignment horizontal="center" vertical="center"/>
    </xf>
    <xf numFmtId="164" fontId="33" fillId="36" borderId="0" xfId="0" applyNumberFormat="1" applyFont="1" applyFill="1" applyBorder="1" applyAlignment="1">
      <alignment horizontal="center" vertical="center"/>
    </xf>
    <xf numFmtId="165" fontId="33" fillId="18" borderId="37" xfId="0" applyNumberFormat="1" applyFont="1" applyFill="1" applyBorder="1" applyAlignment="1">
      <alignment horizontal="center" vertical="center" wrapText="1"/>
    </xf>
    <xf numFmtId="164" fontId="33" fillId="39" borderId="0" xfId="0" applyNumberFormat="1" applyFont="1" applyFill="1" applyBorder="1" applyAlignment="1">
      <alignment horizontal="center" vertical="center" wrapText="1"/>
    </xf>
    <xf numFmtId="164" fontId="9" fillId="36" borderId="0" xfId="0" applyNumberFormat="1" applyFont="1" applyFill="1" applyBorder="1" applyAlignment="1">
      <alignment horizontal="center" vertical="center"/>
    </xf>
    <xf numFmtId="1" fontId="33" fillId="18" borderId="0" xfId="0" applyNumberFormat="1" applyFont="1" applyFill="1" applyBorder="1" applyAlignment="1">
      <alignment horizontal="center" vertical="center"/>
    </xf>
    <xf numFmtId="1" fontId="33" fillId="18" borderId="37" xfId="0" applyNumberFormat="1" applyFont="1" applyFill="1" applyBorder="1" applyAlignment="1">
      <alignment horizontal="center" vertical="center"/>
    </xf>
    <xf numFmtId="1" fontId="0" fillId="39" borderId="12" xfId="0" applyNumberFormat="1" applyFill="1" applyBorder="1" applyAlignment="1">
      <alignment horizontal="center" vertical="center"/>
    </xf>
    <xf numFmtId="164" fontId="33" fillId="39" borderId="12" xfId="0" applyNumberFormat="1" applyFont="1" applyFill="1" applyBorder="1" applyAlignment="1">
      <alignment horizontal="center" vertical="center"/>
    </xf>
    <xf numFmtId="164" fontId="33" fillId="36" borderId="12" xfId="0" applyNumberFormat="1" applyFont="1" applyFill="1" applyBorder="1" applyAlignment="1">
      <alignment horizontal="center" vertical="center"/>
    </xf>
    <xf numFmtId="164" fontId="0" fillId="39" borderId="26" xfId="0" applyNumberFormat="1" applyFill="1" applyBorder="1" applyAlignment="1">
      <alignment horizontal="center" vertical="center"/>
    </xf>
    <xf numFmtId="164" fontId="0" fillId="0" borderId="0" xfId="0" applyNumberFormat="1" applyFill="1" applyBorder="1" applyAlignment="1">
      <alignment horizontal="center" vertical="center"/>
    </xf>
    <xf numFmtId="1" fontId="10" fillId="34" borderId="0" xfId="4" applyNumberFormat="1" applyFont="1" applyFill="1" applyBorder="1" applyAlignment="1">
      <alignment horizontal="center" vertical="center"/>
    </xf>
    <xf numFmtId="167" fontId="10" fillId="34" borderId="0" xfId="4" applyNumberFormat="1" applyFont="1" applyFill="1" applyBorder="1" applyAlignment="1">
      <alignment horizontal="center" vertical="center"/>
    </xf>
    <xf numFmtId="164" fontId="9" fillId="36" borderId="12" xfId="0" applyNumberFormat="1" applyFont="1" applyFill="1" applyBorder="1" applyAlignment="1">
      <alignment horizontal="center" vertical="center"/>
    </xf>
    <xf numFmtId="164" fontId="0" fillId="36" borderId="12" xfId="0" applyNumberFormat="1" applyFill="1" applyBorder="1" applyAlignment="1">
      <alignment horizontal="center" vertical="center"/>
    </xf>
    <xf numFmtId="167" fontId="10" fillId="34" borderId="4" xfId="4" applyNumberFormat="1" applyFont="1" applyFill="1" applyBorder="1" applyAlignment="1">
      <alignment horizontal="center" vertical="center"/>
    </xf>
    <xf numFmtId="167" fontId="10" fillId="34" borderId="6" xfId="4" applyNumberFormat="1" applyFont="1" applyFill="1" applyBorder="1" applyAlignment="1">
      <alignment horizontal="center" vertical="center"/>
    </xf>
    <xf numFmtId="166" fontId="0" fillId="13" borderId="0" xfId="0" applyFill="1" applyBorder="1" applyAlignment="1">
      <alignment horizontal="center" vertical="center"/>
    </xf>
    <xf numFmtId="1" fontId="9" fillId="0" borderId="0" xfId="0" applyNumberFormat="1" applyFont="1" applyAlignment="1">
      <alignment horizontal="center" vertical="center"/>
    </xf>
    <xf numFmtId="164" fontId="10" fillId="0" borderId="0" xfId="4" applyNumberFormat="1" applyFont="1" applyFill="1" applyBorder="1" applyAlignment="1">
      <alignment horizontal="center" vertical="center"/>
    </xf>
    <xf numFmtId="166" fontId="65" fillId="13" borderId="0" xfId="0" applyFont="1" applyFill="1" applyAlignment="1">
      <alignment horizontal="center" vertical="center"/>
    </xf>
    <xf numFmtId="164" fontId="37" fillId="17" borderId="0" xfId="0" applyNumberFormat="1" applyFont="1" applyFill="1" applyBorder="1" applyAlignment="1">
      <alignment horizontal="center" vertical="center" textRotation="90" wrapText="1"/>
    </xf>
    <xf numFmtId="164" fontId="33" fillId="17" borderId="0" xfId="0" applyNumberFormat="1" applyFont="1" applyFill="1" applyBorder="1" applyAlignment="1">
      <alignment horizontal="center" vertical="center" wrapText="1"/>
    </xf>
    <xf numFmtId="2" fontId="52" fillId="12" borderId="0" xfId="0" applyNumberFormat="1" applyFont="1" applyFill="1"/>
    <xf numFmtId="2" fontId="33" fillId="12" borderId="0" xfId="4" applyNumberFormat="1" applyFont="1" applyFill="1"/>
    <xf numFmtId="2" fontId="39" fillId="12" borderId="0" xfId="0" applyNumberFormat="1" applyFont="1" applyFill="1"/>
    <xf numFmtId="2" fontId="33" fillId="12" borderId="0" xfId="4" applyNumberFormat="1" applyFont="1" applyFill="1" applyAlignment="1">
      <alignment horizontal="center" vertical="center"/>
    </xf>
    <xf numFmtId="2" fontId="66" fillId="12" borderId="0" xfId="0" applyNumberFormat="1" applyFont="1" applyFill="1" applyBorder="1" applyAlignment="1">
      <alignment horizontal="center" vertical="center"/>
    </xf>
    <xf numFmtId="2" fontId="66" fillId="12" borderId="8" xfId="0" applyNumberFormat="1" applyFont="1" applyFill="1" applyBorder="1" applyAlignment="1">
      <alignment horizontal="center" vertical="center"/>
    </xf>
    <xf numFmtId="2" fontId="66" fillId="12" borderId="10" xfId="0" applyNumberFormat="1" applyFont="1" applyFill="1" applyBorder="1" applyAlignment="1">
      <alignment horizontal="center" vertical="center"/>
    </xf>
    <xf numFmtId="2" fontId="65" fillId="0" borderId="0" xfId="0" applyNumberFormat="1" applyFont="1" applyAlignment="1">
      <alignment horizontal="center" vertical="center"/>
    </xf>
    <xf numFmtId="2" fontId="0" fillId="0" borderId="0" xfId="0" applyNumberFormat="1" applyAlignment="1">
      <alignment horizontal="center" vertical="center"/>
    </xf>
    <xf numFmtId="169" fontId="65" fillId="0" borderId="0" xfId="0" applyNumberFormat="1" applyFont="1" applyFill="1" applyBorder="1" applyAlignment="1">
      <alignment horizontal="center" vertical="center"/>
    </xf>
    <xf numFmtId="169" fontId="65" fillId="0" borderId="0" xfId="0" applyNumberFormat="1" applyFont="1" applyFill="1" applyAlignment="1">
      <alignment horizontal="center" vertical="center"/>
    </xf>
    <xf numFmtId="169" fontId="67" fillId="35" borderId="0" xfId="0" applyNumberFormat="1" applyFont="1" applyFill="1" applyAlignment="1">
      <alignment horizontal="center" vertical="center" textRotation="90" wrapText="1"/>
    </xf>
    <xf numFmtId="169" fontId="68" fillId="35" borderId="0" xfId="0" applyNumberFormat="1" applyFont="1" applyFill="1" applyAlignment="1">
      <alignment horizontal="center" vertical="center" wrapText="1"/>
    </xf>
    <xf numFmtId="169" fontId="62" fillId="18" borderId="0" xfId="0" applyNumberFormat="1" applyFont="1" applyFill="1" applyAlignment="1">
      <alignment horizontal="center" vertical="center"/>
    </xf>
    <xf numFmtId="169" fontId="66" fillId="12" borderId="1" xfId="0" applyNumberFormat="1" applyFont="1" applyFill="1" applyBorder="1" applyAlignment="1">
      <alignment horizontal="center" vertical="center"/>
    </xf>
    <xf numFmtId="169" fontId="65" fillId="13" borderId="0" xfId="0" applyNumberFormat="1" applyFont="1" applyFill="1" applyBorder="1" applyAlignment="1">
      <alignment horizontal="center" vertical="center"/>
    </xf>
    <xf numFmtId="169" fontId="66" fillId="0" borderId="63" xfId="0" applyNumberFormat="1" applyFont="1" applyFill="1" applyBorder="1" applyAlignment="1">
      <alignment horizontal="center" vertical="center"/>
    </xf>
    <xf numFmtId="169" fontId="65" fillId="0" borderId="0" xfId="0" applyNumberFormat="1" applyFont="1" applyAlignment="1">
      <alignment horizontal="center" vertical="center"/>
    </xf>
    <xf numFmtId="169" fontId="67" fillId="17" borderId="0" xfId="0" applyNumberFormat="1" applyFont="1" applyFill="1" applyAlignment="1">
      <alignment horizontal="center" vertical="center" textRotation="90" wrapText="1"/>
    </xf>
    <xf numFmtId="49" fontId="32" fillId="14" borderId="12" xfId="0" applyNumberFormat="1" applyFont="1" applyFill="1" applyBorder="1" applyAlignment="1">
      <alignment horizontal="center" textRotation="90" wrapText="1"/>
    </xf>
    <xf numFmtId="166" fontId="32" fillId="14" borderId="12" xfId="0" applyFont="1" applyFill="1" applyBorder="1" applyAlignment="1">
      <alignment horizontal="center" textRotation="90" wrapText="1"/>
    </xf>
    <xf numFmtId="49" fontId="32" fillId="14" borderId="12" xfId="0" applyNumberFormat="1" applyFont="1" applyFill="1" applyBorder="1" applyAlignment="1">
      <alignment textRotation="90" wrapText="1"/>
    </xf>
    <xf numFmtId="1" fontId="37" fillId="14" borderId="12" xfId="0" applyNumberFormat="1" applyFont="1" applyFill="1" applyBorder="1" applyAlignment="1">
      <alignment horizontal="center" textRotation="90" wrapText="1"/>
    </xf>
    <xf numFmtId="49" fontId="37" fillId="14" borderId="0" xfId="0" applyNumberFormat="1" applyFont="1" applyFill="1" applyAlignment="1">
      <alignment horizontal="center" textRotation="90" wrapText="1"/>
    </xf>
    <xf numFmtId="1" fontId="37" fillId="14" borderId="0" xfId="0" applyNumberFormat="1" applyFont="1" applyFill="1" applyAlignment="1">
      <alignment horizontal="center" vertical="center" textRotation="90" wrapText="1"/>
    </xf>
    <xf numFmtId="164" fontId="37" fillId="14" borderId="0" xfId="0" applyNumberFormat="1" applyFont="1" applyFill="1" applyAlignment="1">
      <alignment horizontal="center" vertical="center" textRotation="90" wrapText="1"/>
    </xf>
    <xf numFmtId="164" fontId="37" fillId="14" borderId="0" xfId="0" applyNumberFormat="1" applyFont="1" applyFill="1" applyBorder="1" applyAlignment="1">
      <alignment horizontal="center" vertical="center" textRotation="90" wrapText="1"/>
    </xf>
    <xf numFmtId="166" fontId="37" fillId="14" borderId="0" xfId="0" applyFont="1" applyFill="1" applyBorder="1" applyAlignment="1">
      <alignment horizontal="center" vertical="center" textRotation="90" wrapText="1"/>
    </xf>
    <xf numFmtId="1" fontId="37" fillId="14" borderId="0" xfId="3" applyNumberFormat="1" applyFont="1" applyFill="1" applyBorder="1" applyAlignment="1">
      <alignment horizontal="center" vertical="center" textRotation="90" wrapText="1"/>
    </xf>
    <xf numFmtId="166" fontId="67" fillId="14" borderId="0" xfId="0" applyFont="1" applyFill="1" applyBorder="1" applyAlignment="1">
      <alignment horizontal="center" vertical="center" textRotation="90" wrapText="1"/>
    </xf>
    <xf numFmtId="166" fontId="67" fillId="14" borderId="0" xfId="0" applyFont="1" applyFill="1" applyAlignment="1">
      <alignment horizontal="center" vertical="center" textRotation="90" wrapText="1"/>
    </xf>
    <xf numFmtId="166" fontId="65" fillId="14" borderId="0" xfId="0" applyFont="1" applyFill="1" applyAlignment="1">
      <alignment horizontal="center" vertical="center" textRotation="90" wrapText="1"/>
    </xf>
    <xf numFmtId="166" fontId="37" fillId="14" borderId="0" xfId="0" applyFont="1" applyFill="1" applyAlignment="1">
      <alignment horizontal="center" vertical="center" textRotation="90" wrapText="1"/>
    </xf>
    <xf numFmtId="49" fontId="0" fillId="14" borderId="12" xfId="0" applyNumberFormat="1" applyFill="1" applyBorder="1" applyAlignment="1">
      <alignment horizontal="center" wrapText="1"/>
    </xf>
    <xf numFmtId="166" fontId="9" fillId="14" borderId="12" xfId="0" applyFont="1" applyFill="1" applyBorder="1" applyAlignment="1">
      <alignment horizontal="center" wrapText="1"/>
    </xf>
    <xf numFmtId="49" fontId="32" fillId="14" borderId="12" xfId="0" applyNumberFormat="1" applyFont="1" applyFill="1" applyBorder="1" applyAlignment="1">
      <alignment horizontal="center" wrapText="1"/>
    </xf>
    <xf numFmtId="1" fontId="32" fillId="14" borderId="12" xfId="0" applyNumberFormat="1" applyFont="1" applyFill="1" applyBorder="1" applyAlignment="1">
      <alignment horizontal="center" wrapText="1"/>
    </xf>
    <xf numFmtId="49" fontId="32" fillId="14" borderId="0" xfId="0" applyNumberFormat="1" applyFont="1" applyFill="1" applyAlignment="1">
      <alignment horizontal="center" wrapText="1"/>
    </xf>
    <xf numFmtId="1" fontId="32" fillId="14" borderId="0" xfId="0" applyNumberFormat="1" applyFont="1" applyFill="1" applyAlignment="1">
      <alignment horizontal="center" vertical="center" wrapText="1"/>
    </xf>
    <xf numFmtId="164" fontId="32" fillId="14" borderId="0" xfId="0" applyNumberFormat="1" applyFont="1" applyFill="1" applyAlignment="1">
      <alignment horizontal="center" vertical="center" wrapText="1"/>
    </xf>
    <xf numFmtId="164" fontId="33" fillId="14" borderId="0" xfId="0" applyNumberFormat="1" applyFont="1" applyFill="1" applyAlignment="1">
      <alignment horizontal="center" vertical="center" wrapText="1"/>
    </xf>
    <xf numFmtId="164" fontId="33" fillId="14" borderId="0" xfId="0" applyNumberFormat="1" applyFont="1" applyFill="1" applyBorder="1" applyAlignment="1">
      <alignment horizontal="center" vertical="center" wrapText="1"/>
    </xf>
    <xf numFmtId="2" fontId="33" fillId="14" borderId="0" xfId="3" applyNumberFormat="1" applyFont="1" applyFill="1" applyBorder="1" applyAlignment="1">
      <alignment horizontal="center" vertical="center" wrapText="1"/>
    </xf>
    <xf numFmtId="9" fontId="33" fillId="14" borderId="0" xfId="3" applyFont="1" applyFill="1" applyBorder="1" applyAlignment="1">
      <alignment horizontal="center" vertical="center" wrapText="1"/>
    </xf>
    <xf numFmtId="1" fontId="33" fillId="14" borderId="0" xfId="3" applyNumberFormat="1" applyFont="1" applyFill="1" applyBorder="1" applyAlignment="1">
      <alignment horizontal="center" vertical="center" wrapText="1"/>
    </xf>
    <xf numFmtId="164" fontId="38" fillId="14" borderId="0" xfId="0" applyNumberFormat="1" applyFont="1" applyFill="1" applyBorder="1" applyAlignment="1">
      <alignment horizontal="center" vertical="center" wrapText="1"/>
    </xf>
    <xf numFmtId="166" fontId="38" fillId="14" borderId="0" xfId="0" applyFont="1" applyFill="1" applyBorder="1" applyAlignment="1">
      <alignment horizontal="center" vertical="center" wrapText="1"/>
    </xf>
    <xf numFmtId="166" fontId="33" fillId="14" borderId="0" xfId="0" applyFont="1" applyFill="1" applyBorder="1" applyAlignment="1">
      <alignment horizontal="center" vertical="center" wrapText="1"/>
    </xf>
    <xf numFmtId="166" fontId="68" fillId="14" borderId="0" xfId="0" applyFont="1" applyFill="1" applyBorder="1" applyAlignment="1">
      <alignment horizontal="center" vertical="center" wrapText="1"/>
    </xf>
    <xf numFmtId="166" fontId="68" fillId="14" borderId="0" xfId="0" applyFont="1" applyFill="1" applyAlignment="1">
      <alignment horizontal="center" vertical="center" wrapText="1"/>
    </xf>
    <xf numFmtId="166" fontId="65" fillId="14" borderId="0" xfId="0" applyFont="1" applyFill="1" applyAlignment="1">
      <alignment horizontal="center" vertical="center" wrapText="1"/>
    </xf>
    <xf numFmtId="166" fontId="38" fillId="14" borderId="0" xfId="0" applyFont="1" applyFill="1" applyAlignment="1">
      <alignment horizontal="center" vertical="center" wrapText="1"/>
    </xf>
    <xf numFmtId="1" fontId="69" fillId="0" borderId="12" xfId="0" applyNumberFormat="1" applyFont="1" applyFill="1" applyBorder="1" applyAlignment="1">
      <alignment horizontal="right"/>
    </xf>
    <xf numFmtId="166" fontId="69" fillId="0" borderId="12" xfId="0" applyFont="1" applyFill="1" applyBorder="1"/>
    <xf numFmtId="1" fontId="69" fillId="0" borderId="12" xfId="0" applyNumberFormat="1" applyFont="1" applyFill="1" applyBorder="1" applyAlignment="1">
      <alignment horizontal="left"/>
    </xf>
    <xf numFmtId="2" fontId="69" fillId="0" borderId="0" xfId="0" applyNumberFormat="1" applyFont="1" applyFill="1" applyAlignment="1">
      <alignment horizontal="left" wrapText="1"/>
    </xf>
    <xf numFmtId="166" fontId="69" fillId="0" borderId="0" xfId="0" applyFont="1" applyFill="1" applyAlignment="1">
      <alignment wrapText="1"/>
    </xf>
    <xf numFmtId="166" fontId="69" fillId="0" borderId="0" xfId="0" applyFont="1" applyFill="1"/>
    <xf numFmtId="2" fontId="69" fillId="0" borderId="0" xfId="0" applyNumberFormat="1" applyFont="1" applyFill="1" applyAlignment="1">
      <alignment horizontal="left"/>
    </xf>
    <xf numFmtId="166" fontId="41" fillId="0" borderId="0" xfId="0" applyFont="1" applyFill="1" applyAlignment="1">
      <alignment wrapText="1"/>
    </xf>
    <xf numFmtId="1" fontId="41" fillId="0" borderId="12" xfId="0" applyNumberFormat="1" applyFont="1" applyFill="1" applyBorder="1" applyAlignment="1">
      <alignment horizontal="left"/>
    </xf>
    <xf numFmtId="166" fontId="41" fillId="0" borderId="12" xfId="0" applyFont="1" applyFill="1" applyBorder="1"/>
    <xf numFmtId="2" fontId="41" fillId="0" borderId="0" xfId="0" applyNumberFormat="1" applyFont="1" applyFill="1" applyAlignment="1">
      <alignment horizontal="left"/>
    </xf>
    <xf numFmtId="166" fontId="41" fillId="0" borderId="0" xfId="0" applyFont="1" applyFill="1" applyAlignment="1">
      <alignment horizontal="left"/>
    </xf>
    <xf numFmtId="166" fontId="12" fillId="0" borderId="0" xfId="6" applyFont="1" applyFill="1"/>
    <xf numFmtId="166" fontId="41" fillId="13" borderId="12" xfId="0" applyFont="1" applyFill="1" applyBorder="1"/>
    <xf numFmtId="166" fontId="41" fillId="13" borderId="0" xfId="0" applyFont="1" applyFill="1" applyAlignment="1">
      <alignment wrapText="1"/>
    </xf>
    <xf numFmtId="166" fontId="41" fillId="0" borderId="12" xfId="2" applyFont="1" applyFill="1" applyBorder="1"/>
    <xf numFmtId="2" fontId="41" fillId="0" borderId="0" xfId="2" applyNumberFormat="1" applyFont="1" applyFill="1" applyBorder="1" applyAlignment="1">
      <alignment horizontal="left"/>
    </xf>
    <xf numFmtId="166" fontId="41" fillId="13" borderId="12" xfId="2" applyFont="1" applyFill="1" applyBorder="1"/>
    <xf numFmtId="2" fontId="41" fillId="0" borderId="0" xfId="2" applyNumberFormat="1" applyFont="1" applyFill="1" applyBorder="1" applyAlignment="1">
      <alignment wrapText="1"/>
    </xf>
    <xf numFmtId="166" fontId="41" fillId="0" borderId="0" xfId="0" applyFont="1" applyAlignment="1">
      <alignment wrapText="1"/>
    </xf>
    <xf numFmtId="166" fontId="70" fillId="13" borderId="0" xfId="6" applyFont="1" applyFill="1"/>
    <xf numFmtId="166" fontId="41" fillId="0" borderId="0" xfId="0" applyFont="1" applyFill="1"/>
    <xf numFmtId="166" fontId="41" fillId="0" borderId="0" xfId="0" applyFont="1" applyFill="1" applyBorder="1"/>
    <xf numFmtId="166" fontId="41" fillId="0" borderId="0" xfId="0" applyFont="1" applyFill="1" applyAlignment="1">
      <alignment horizontal="left" vertical="center"/>
    </xf>
    <xf numFmtId="166" fontId="34" fillId="0" borderId="53" xfId="0" applyFont="1" applyFill="1" applyBorder="1" applyAlignment="1">
      <alignment horizontal="center" vertical="center" textRotation="90" wrapText="1"/>
    </xf>
    <xf numFmtId="2" fontId="34" fillId="20" borderId="13" xfId="7" applyNumberFormat="1" applyFont="1" applyFill="1" applyBorder="1" applyAlignment="1">
      <alignment vertical="center" wrapText="1"/>
    </xf>
    <xf numFmtId="164" fontId="34" fillId="20" borderId="47" xfId="0" applyNumberFormat="1" applyFont="1" applyFill="1" applyBorder="1" applyAlignment="1">
      <alignment wrapText="1"/>
    </xf>
    <xf numFmtId="166" fontId="34" fillId="20" borderId="47" xfId="0" applyFont="1" applyFill="1" applyBorder="1" applyAlignment="1">
      <alignment wrapText="1"/>
    </xf>
    <xf numFmtId="1" fontId="33" fillId="32" borderId="33" xfId="0" applyNumberFormat="1" applyFont="1" applyFill="1" applyBorder="1" applyAlignment="1">
      <alignment horizontal="center" vertical="center" wrapText="1"/>
    </xf>
    <xf numFmtId="1" fontId="33" fillId="32" borderId="61" xfId="0" applyNumberFormat="1" applyFont="1" applyFill="1" applyBorder="1" applyAlignment="1">
      <alignment horizontal="center" vertical="center" wrapText="1"/>
    </xf>
    <xf numFmtId="1" fontId="33" fillId="32" borderId="54" xfId="0" applyNumberFormat="1" applyFont="1" applyFill="1" applyBorder="1" applyAlignment="1">
      <alignment horizontal="center" vertical="center" wrapText="1"/>
    </xf>
    <xf numFmtId="1" fontId="33" fillId="28" borderId="14" xfId="0" applyNumberFormat="1" applyFont="1" applyFill="1" applyBorder="1" applyAlignment="1">
      <alignment horizontal="center" vertical="center" wrapText="1"/>
    </xf>
    <xf numFmtId="1" fontId="33" fillId="28" borderId="12" xfId="0" applyNumberFormat="1" applyFont="1" applyFill="1" applyBorder="1" applyAlignment="1">
      <alignment horizontal="center" vertical="center"/>
    </xf>
    <xf numFmtId="1" fontId="33" fillId="28" borderId="13" xfId="0" applyNumberFormat="1" applyFont="1" applyFill="1" applyBorder="1" applyAlignment="1">
      <alignment horizontal="center" vertical="center"/>
    </xf>
    <xf numFmtId="1" fontId="43" fillId="29" borderId="51" xfId="0" applyNumberFormat="1" applyFont="1" applyFill="1" applyBorder="1" applyAlignment="1">
      <alignment horizontal="center" wrapText="1"/>
    </xf>
    <xf numFmtId="1" fontId="43" fillId="29" borderId="12" xfId="0" applyNumberFormat="1" applyFont="1" applyFill="1" applyBorder="1" applyAlignment="1">
      <alignment horizontal="center" wrapText="1"/>
    </xf>
    <xf numFmtId="1" fontId="43" fillId="29" borderId="13" xfId="0" applyNumberFormat="1" applyFont="1" applyFill="1" applyBorder="1" applyAlignment="1">
      <alignment horizontal="center" wrapText="1"/>
    </xf>
    <xf numFmtId="1" fontId="43" fillId="29" borderId="54" xfId="0" applyNumberFormat="1" applyFont="1" applyFill="1" applyBorder="1" applyAlignment="1">
      <alignment horizontal="center" wrapText="1"/>
    </xf>
    <xf numFmtId="1" fontId="33" fillId="33" borderId="51" xfId="0" applyNumberFormat="1" applyFont="1" applyFill="1" applyBorder="1" applyAlignment="1">
      <alignment horizontal="center" vertical="center"/>
    </xf>
    <xf numFmtId="1" fontId="33" fillId="33" borderId="12" xfId="0" applyNumberFormat="1" applyFont="1" applyFill="1" applyBorder="1" applyAlignment="1">
      <alignment horizontal="center" vertical="center"/>
    </xf>
    <xf numFmtId="1" fontId="33" fillId="33" borderId="54" xfId="0" applyNumberFormat="1" applyFont="1" applyFill="1" applyBorder="1" applyAlignment="1">
      <alignment horizontal="center" vertical="center"/>
    </xf>
    <xf numFmtId="1" fontId="33" fillId="31" borderId="51" xfId="0" applyNumberFormat="1" applyFont="1" applyFill="1" applyBorder="1" applyAlignment="1">
      <alignment horizontal="center" vertical="center"/>
    </xf>
    <xf numFmtId="1" fontId="33" fillId="31" borderId="12" xfId="0" applyNumberFormat="1" applyFont="1" applyFill="1" applyBorder="1" applyAlignment="1">
      <alignment horizontal="center" vertical="center"/>
    </xf>
    <xf numFmtId="1" fontId="33" fillId="31" borderId="54" xfId="0" applyNumberFormat="1" applyFont="1" applyFill="1" applyBorder="1" applyAlignment="1">
      <alignment horizontal="center" vertical="center"/>
    </xf>
    <xf numFmtId="1" fontId="33" fillId="29" borderId="13" xfId="0" applyNumberFormat="1" applyFont="1" applyFill="1" applyBorder="1" applyAlignment="1">
      <alignment horizontal="center" vertical="center"/>
    </xf>
    <xf numFmtId="1" fontId="43" fillId="29" borderId="54" xfId="0" applyNumberFormat="1" applyFont="1" applyFill="1" applyBorder="1" applyAlignment="1">
      <alignment vertical="center" wrapText="1"/>
    </xf>
    <xf numFmtId="1" fontId="43" fillId="0" borderId="0" xfId="0" applyNumberFormat="1" applyFont="1" applyFill="1" applyBorder="1" applyAlignment="1">
      <alignment vertical="center" wrapText="1"/>
    </xf>
    <xf numFmtId="1" fontId="33" fillId="30" borderId="51" xfId="0" applyNumberFormat="1" applyFont="1" applyFill="1" applyBorder="1" applyAlignment="1">
      <alignment horizontal="center" vertical="center"/>
    </xf>
    <xf numFmtId="1" fontId="33" fillId="30" borderId="12" xfId="0" applyNumberFormat="1" applyFont="1" applyFill="1" applyBorder="1" applyAlignment="1">
      <alignment horizontal="center" vertical="center"/>
    </xf>
    <xf numFmtId="1" fontId="33" fillId="30" borderId="54" xfId="0" applyNumberFormat="1" applyFont="1" applyFill="1" applyBorder="1" applyAlignment="1">
      <alignment horizontal="center" vertical="center"/>
    </xf>
    <xf numFmtId="1" fontId="33" fillId="0" borderId="0" xfId="0" applyNumberFormat="1" applyFont="1" applyAlignment="1">
      <alignment horizontal="center"/>
    </xf>
    <xf numFmtId="165" fontId="9" fillId="33" borderId="12" xfId="0" applyNumberFormat="1" applyFont="1" applyFill="1" applyBorder="1" applyAlignment="1">
      <alignment horizontal="left" vertical="center" wrapText="1"/>
    </xf>
    <xf numFmtId="165" fontId="9" fillId="33" borderId="12" xfId="0" applyNumberFormat="1" applyFont="1" applyFill="1" applyBorder="1" applyAlignment="1">
      <alignment horizontal="center" vertical="center"/>
    </xf>
    <xf numFmtId="165" fontId="9" fillId="33" borderId="14" xfId="0" applyNumberFormat="1" applyFont="1" applyFill="1" applyBorder="1" applyAlignment="1">
      <alignment horizontal="center" vertical="center"/>
    </xf>
    <xf numFmtId="166" fontId="9" fillId="33" borderId="14" xfId="0" applyFont="1" applyFill="1" applyBorder="1" applyAlignment="1">
      <alignment horizontal="left" vertical="center" wrapText="1"/>
    </xf>
    <xf numFmtId="1" fontId="11" fillId="33" borderId="12" xfId="0" applyNumberFormat="1" applyFont="1" applyFill="1" applyBorder="1" applyAlignment="1">
      <alignment horizontal="left" vertical="center"/>
    </xf>
    <xf numFmtId="166" fontId="9" fillId="33" borderId="12" xfId="0" applyFont="1" applyFill="1" applyBorder="1" applyAlignment="1">
      <alignment horizontal="left" vertical="center"/>
    </xf>
    <xf numFmtId="165" fontId="11" fillId="33" borderId="12" xfId="0" applyNumberFormat="1" applyFont="1" applyFill="1" applyBorder="1" applyAlignment="1">
      <alignment horizontal="center" vertical="center"/>
    </xf>
    <xf numFmtId="9" fontId="33" fillId="28" borderId="13" xfId="3" applyFont="1" applyFill="1" applyBorder="1" applyAlignment="1">
      <alignment vertical="center"/>
    </xf>
    <xf numFmtId="165" fontId="33" fillId="16" borderId="0" xfId="0" applyNumberFormat="1" applyFont="1" applyFill="1" applyAlignment="1">
      <alignment horizontal="right"/>
    </xf>
    <xf numFmtId="165" fontId="32" fillId="18" borderId="63" xfId="0" applyNumberFormat="1" applyFont="1" applyFill="1" applyBorder="1" applyAlignment="1">
      <alignment horizontal="center"/>
    </xf>
    <xf numFmtId="165" fontId="33" fillId="18" borderId="0" xfId="0" applyNumberFormat="1" applyFont="1" applyFill="1" applyBorder="1" applyAlignment="1">
      <alignment horizontal="center"/>
    </xf>
    <xf numFmtId="49" fontId="33" fillId="18" borderId="0" xfId="0" applyNumberFormat="1" applyFont="1" applyFill="1" applyBorder="1" applyAlignment="1">
      <alignment horizontal="center"/>
    </xf>
    <xf numFmtId="49" fontId="32" fillId="18" borderId="63" xfId="0" applyNumberFormat="1" applyFont="1" applyFill="1" applyBorder="1" applyAlignment="1">
      <alignment horizontal="center"/>
    </xf>
    <xf numFmtId="4" fontId="33" fillId="18" borderId="0" xfId="0" applyNumberFormat="1" applyFont="1" applyFill="1" applyBorder="1" applyAlignment="1">
      <alignment horizontal="center"/>
    </xf>
    <xf numFmtId="1" fontId="33" fillId="18" borderId="0" xfId="0" applyNumberFormat="1" applyFont="1" applyFill="1" applyBorder="1" applyAlignment="1">
      <alignment horizontal="center"/>
    </xf>
    <xf numFmtId="1" fontId="0" fillId="34" borderId="63" xfId="0" applyNumberFormat="1" applyFill="1" applyBorder="1" applyAlignment="1">
      <alignment horizontal="center"/>
    </xf>
    <xf numFmtId="166" fontId="0" fillId="34" borderId="0" xfId="0" applyFill="1" applyBorder="1" applyAlignment="1">
      <alignment horizontal="center"/>
    </xf>
    <xf numFmtId="1" fontId="0" fillId="34" borderId="0" xfId="0" applyNumberFormat="1" applyFill="1" applyBorder="1" applyAlignment="1">
      <alignment horizontal="center"/>
    </xf>
    <xf numFmtId="1" fontId="9" fillId="34" borderId="0" xfId="0" applyNumberFormat="1" applyFont="1" applyFill="1" applyBorder="1" applyAlignment="1">
      <alignment horizontal="center"/>
    </xf>
    <xf numFmtId="166" fontId="9" fillId="34" borderId="0" xfId="0" applyFont="1" applyFill="1" applyBorder="1" applyAlignment="1">
      <alignment horizontal="center"/>
    </xf>
    <xf numFmtId="1" fontId="10" fillId="34" borderId="0" xfId="4" applyNumberFormat="1" applyFont="1" applyFill="1" applyBorder="1" applyAlignment="1">
      <alignment horizontal="center"/>
    </xf>
    <xf numFmtId="1" fontId="0" fillId="34" borderId="3" xfId="0" applyNumberFormat="1" applyFill="1" applyBorder="1" applyAlignment="1">
      <alignment horizontal="center"/>
    </xf>
    <xf numFmtId="166" fontId="0" fillId="34" borderId="4" xfId="0" applyFill="1" applyBorder="1" applyAlignment="1">
      <alignment horizontal="center"/>
    </xf>
    <xf numFmtId="1" fontId="0" fillId="34" borderId="4" xfId="0" applyNumberFormat="1" applyFill="1" applyBorder="1" applyAlignment="1">
      <alignment horizontal="center"/>
    </xf>
    <xf numFmtId="1" fontId="9" fillId="34" borderId="4" xfId="0" applyNumberFormat="1" applyFont="1" applyFill="1" applyBorder="1" applyAlignment="1">
      <alignment horizontal="center"/>
    </xf>
    <xf numFmtId="166" fontId="9" fillId="34" borderId="4" xfId="0" applyFont="1" applyFill="1" applyBorder="1" applyAlignment="1">
      <alignment horizontal="center"/>
    </xf>
    <xf numFmtId="1" fontId="10" fillId="34" borderId="4" xfId="4" applyNumberFormat="1" applyFont="1" applyFill="1" applyBorder="1" applyAlignment="1">
      <alignment horizontal="center"/>
    </xf>
    <xf numFmtId="165" fontId="33" fillId="18" borderId="2" xfId="0" applyNumberFormat="1" applyFont="1" applyFill="1" applyBorder="1" applyAlignment="1">
      <alignment horizontal="center"/>
    </xf>
    <xf numFmtId="49" fontId="33" fillId="18" borderId="2" xfId="0" applyNumberFormat="1" applyFont="1" applyFill="1" applyBorder="1" applyAlignment="1">
      <alignment horizontal="center"/>
    </xf>
    <xf numFmtId="165" fontId="32" fillId="18" borderId="1" xfId="0" applyNumberFormat="1" applyFont="1" applyFill="1" applyBorder="1" applyAlignment="1">
      <alignment horizontal="left"/>
    </xf>
    <xf numFmtId="164" fontId="34" fillId="13" borderId="0" xfId="0" applyNumberFormat="1" applyFont="1" applyFill="1" applyBorder="1" applyAlignment="1">
      <alignment vertical="center" wrapText="1"/>
    </xf>
    <xf numFmtId="9" fontId="65" fillId="0" borderId="0" xfId="0" applyNumberFormat="1" applyFont="1" applyFill="1" applyAlignment="1">
      <alignment horizontal="left"/>
    </xf>
    <xf numFmtId="9" fontId="0" fillId="0" borderId="0" xfId="3" applyFont="1"/>
    <xf numFmtId="9" fontId="0" fillId="0" borderId="0" xfId="0" applyNumberFormat="1"/>
    <xf numFmtId="166" fontId="0" fillId="0" borderId="0" xfId="0" applyFill="1" applyAlignment="1">
      <alignment horizontal="center"/>
    </xf>
    <xf numFmtId="166" fontId="0" fillId="0" borderId="0" xfId="0" applyAlignment="1">
      <alignment horizontal="center"/>
    </xf>
    <xf numFmtId="1" fontId="11" fillId="33" borderId="15" xfId="0" applyNumberFormat="1" applyFont="1" applyFill="1" applyBorder="1" applyAlignment="1">
      <alignment horizontal="center" vertical="center" wrapText="1"/>
    </xf>
    <xf numFmtId="166" fontId="9" fillId="37" borderId="12" xfId="0" applyFont="1" applyFill="1" applyBorder="1" applyAlignment="1">
      <alignment horizontal="left" vertical="center" wrapText="1"/>
    </xf>
    <xf numFmtId="1" fontId="0" fillId="0" borderId="0" xfId="0" applyNumberFormat="1" applyAlignment="1">
      <alignment horizontal="left" vertical="center"/>
    </xf>
    <xf numFmtId="166" fontId="40" fillId="0" borderId="0" xfId="0" applyFont="1" applyFill="1" applyAlignment="1">
      <alignment wrapText="1"/>
    </xf>
    <xf numFmtId="166" fontId="34" fillId="0" borderId="0" xfId="0" applyFont="1" applyFill="1" applyBorder="1" applyAlignment="1">
      <alignment horizontal="left"/>
    </xf>
    <xf numFmtId="166" fontId="21" fillId="9" borderId="9" xfId="0" applyFont="1" applyFill="1" applyBorder="1" applyAlignment="1">
      <alignment horizontal="left" vertical="center" wrapText="1"/>
    </xf>
    <xf numFmtId="1" fontId="34" fillId="0" borderId="11" xfId="7" applyNumberFormat="1" applyFont="1" applyFill="1" applyBorder="1" applyAlignment="1">
      <alignment horizontal="center" vertical="center" wrapText="1"/>
    </xf>
    <xf numFmtId="166" fontId="34" fillId="0" borderId="11" xfId="7" applyFont="1" applyFill="1" applyBorder="1" applyAlignment="1">
      <alignment horizontal="center" vertical="center"/>
    </xf>
    <xf numFmtId="164" fontId="34" fillId="0" borderId="11" xfId="7" applyNumberFormat="1" applyFont="1" applyFill="1" applyBorder="1" applyAlignment="1">
      <alignment horizontal="center" vertical="center" wrapText="1"/>
    </xf>
    <xf numFmtId="166" fontId="75" fillId="0" borderId="0" xfId="7" applyFont="1" applyFill="1"/>
    <xf numFmtId="1" fontId="43" fillId="0" borderId="51" xfId="7" applyNumberFormat="1" applyFont="1" applyFill="1" applyBorder="1" applyAlignment="1">
      <alignment horizontal="center" vertical="center" wrapText="1"/>
    </xf>
    <xf numFmtId="166" fontId="43" fillId="0" borderId="51" xfId="7" applyFont="1" applyFill="1" applyBorder="1" applyAlignment="1">
      <alignment vertical="center"/>
    </xf>
    <xf numFmtId="164" fontId="34" fillId="17" borderId="36" xfId="7" applyNumberFormat="1" applyFont="1" applyFill="1" applyBorder="1" applyAlignment="1">
      <alignment horizontal="center" vertical="center" wrapText="1"/>
    </xf>
    <xf numFmtId="164" fontId="34" fillId="20" borderId="51" xfId="7" applyNumberFormat="1" applyFont="1" applyFill="1" applyBorder="1" applyAlignment="1">
      <alignment horizontal="center" vertical="center"/>
    </xf>
    <xf numFmtId="166" fontId="34" fillId="20" borderId="51" xfId="7" applyFont="1" applyFill="1" applyBorder="1" applyAlignment="1">
      <alignment horizontal="center" vertical="center"/>
    </xf>
    <xf numFmtId="166" fontId="43" fillId="0" borderId="12" xfId="7" applyFont="1" applyFill="1" applyBorder="1" applyAlignment="1"/>
    <xf numFmtId="164" fontId="34" fillId="17" borderId="26" xfId="7" applyNumberFormat="1" applyFont="1" applyFill="1" applyBorder="1" applyAlignment="1">
      <alignment horizontal="center" vertical="center" wrapText="1"/>
    </xf>
    <xf numFmtId="164" fontId="34" fillId="20" borderId="12" xfId="7" applyNumberFormat="1" applyFont="1" applyFill="1" applyBorder="1" applyAlignment="1">
      <alignment horizontal="center" vertical="center"/>
    </xf>
    <xf numFmtId="166" fontId="34" fillId="20" borderId="12" xfId="7" applyFont="1" applyFill="1" applyBorder="1" applyAlignment="1">
      <alignment horizontal="center" vertical="center"/>
    </xf>
    <xf numFmtId="164" fontId="34" fillId="17" borderId="16" xfId="7" applyNumberFormat="1" applyFont="1" applyFill="1" applyBorder="1" applyAlignment="1">
      <alignment horizontal="center" vertical="center" wrapText="1"/>
    </xf>
    <xf numFmtId="164" fontId="43" fillId="20" borderId="12" xfId="7" applyNumberFormat="1" applyFont="1" applyFill="1" applyBorder="1" applyAlignment="1">
      <alignment horizontal="center" vertical="center"/>
    </xf>
    <xf numFmtId="166" fontId="43" fillId="20" borderId="12" xfId="7" applyFont="1" applyFill="1" applyBorder="1" applyAlignment="1">
      <alignment horizontal="center" vertical="center"/>
    </xf>
    <xf numFmtId="166" fontId="43" fillId="0" borderId="12" xfId="7" applyFont="1" applyFill="1" applyBorder="1" applyAlignment="1">
      <alignment horizontal="left" wrapText="1"/>
    </xf>
    <xf numFmtId="164" fontId="34" fillId="17" borderId="18" xfId="7" applyNumberFormat="1" applyFont="1" applyFill="1" applyBorder="1" applyAlignment="1">
      <alignment horizontal="center" vertical="center" wrapText="1"/>
    </xf>
    <xf numFmtId="164" fontId="34" fillId="20" borderId="54" xfId="7" applyNumberFormat="1" applyFont="1" applyFill="1" applyBorder="1" applyAlignment="1">
      <alignment horizontal="center" vertical="center"/>
    </xf>
    <xf numFmtId="164" fontId="43" fillId="20" borderId="54" xfId="7" applyNumberFormat="1" applyFont="1" applyFill="1" applyBorder="1" applyAlignment="1">
      <alignment horizontal="center" vertical="center"/>
    </xf>
    <xf numFmtId="166" fontId="43" fillId="20" borderId="54" xfId="7" applyFont="1" applyFill="1" applyBorder="1" applyAlignment="1">
      <alignment horizontal="center" vertical="center"/>
    </xf>
    <xf numFmtId="1" fontId="34" fillId="17" borderId="36" xfId="7" applyNumberFormat="1" applyFont="1" applyFill="1" applyBorder="1" applyAlignment="1">
      <alignment horizontal="center" vertical="center"/>
    </xf>
    <xf numFmtId="164" fontId="43" fillId="20" borderId="51" xfId="7" applyNumberFormat="1" applyFont="1" applyFill="1" applyBorder="1" applyAlignment="1">
      <alignment horizontal="center" vertical="center"/>
    </xf>
    <xf numFmtId="166" fontId="43" fillId="20" borderId="51" xfId="7" applyFont="1" applyFill="1" applyBorder="1" applyAlignment="1">
      <alignment horizontal="center" vertical="center"/>
    </xf>
    <xf numFmtId="166" fontId="43" fillId="0" borderId="12" xfId="7" applyFont="1" applyFill="1" applyBorder="1" applyAlignment="1">
      <alignment horizontal="left" vertical="center"/>
    </xf>
    <xf numFmtId="1" fontId="34" fillId="17" borderId="26" xfId="7" applyNumberFormat="1" applyFont="1" applyFill="1" applyBorder="1" applyAlignment="1">
      <alignment horizontal="center" vertical="center"/>
    </xf>
    <xf numFmtId="170" fontId="43" fillId="20" borderId="12" xfId="7" applyNumberFormat="1" applyFont="1" applyFill="1" applyBorder="1" applyAlignment="1">
      <alignment horizontal="center" vertical="center"/>
    </xf>
    <xf numFmtId="1" fontId="43" fillId="0" borderId="16" xfId="7" applyNumberFormat="1" applyFont="1" applyFill="1" applyBorder="1" applyAlignment="1">
      <alignment horizontal="center" vertical="center" wrapText="1"/>
    </xf>
    <xf numFmtId="166" fontId="43" fillId="0" borderId="12" xfId="7" applyFont="1" applyFill="1" applyBorder="1" applyAlignment="1">
      <alignment horizontal="left" vertical="center" wrapText="1"/>
    </xf>
    <xf numFmtId="1" fontId="43" fillId="13" borderId="16" xfId="7" applyNumberFormat="1" applyFont="1" applyFill="1" applyBorder="1" applyAlignment="1">
      <alignment horizontal="center" vertical="center" wrapText="1"/>
    </xf>
    <xf numFmtId="166" fontId="43" fillId="13" borderId="12" xfId="7" applyFont="1" applyFill="1" applyBorder="1" applyAlignment="1">
      <alignment horizontal="left" vertical="center" wrapText="1"/>
    </xf>
    <xf numFmtId="166" fontId="43" fillId="13" borderId="12" xfId="7" applyFont="1" applyFill="1" applyBorder="1" applyAlignment="1">
      <alignment horizontal="left" vertical="center"/>
    </xf>
    <xf numFmtId="164" fontId="34" fillId="20" borderId="12" xfId="3" applyNumberFormat="1" applyFont="1" applyFill="1" applyBorder="1" applyAlignment="1">
      <alignment horizontal="center" vertical="center"/>
    </xf>
    <xf numFmtId="166" fontId="43" fillId="20" borderId="0" xfId="7" applyFont="1" applyFill="1" applyAlignment="1"/>
    <xf numFmtId="164" fontId="34" fillId="17" borderId="26" xfId="7" applyNumberFormat="1" applyFont="1" applyFill="1" applyBorder="1" applyAlignment="1">
      <alignment horizontal="center" vertical="center"/>
    </xf>
    <xf numFmtId="1" fontId="43" fillId="13" borderId="29" xfId="7" applyNumberFormat="1" applyFont="1" applyFill="1" applyBorder="1" applyAlignment="1">
      <alignment horizontal="center" vertical="center" wrapText="1"/>
    </xf>
    <xf numFmtId="166" fontId="43" fillId="13" borderId="54" xfId="7" applyFont="1" applyFill="1" applyBorder="1" applyAlignment="1">
      <alignment horizontal="left" vertical="center" wrapText="1"/>
    </xf>
    <xf numFmtId="164" fontId="34" fillId="20" borderId="35" xfId="7" applyNumberFormat="1" applyFont="1" applyFill="1" applyBorder="1" applyAlignment="1">
      <alignment horizontal="center" vertical="center"/>
    </xf>
    <xf numFmtId="1" fontId="43" fillId="0" borderId="15" xfId="7" applyNumberFormat="1" applyFont="1" applyFill="1" applyBorder="1" applyAlignment="1">
      <alignment horizontal="center" vertical="center" wrapText="1"/>
    </xf>
    <xf numFmtId="164" fontId="43" fillId="20" borderId="14" xfId="7" applyNumberFormat="1" applyFont="1" applyFill="1" applyBorder="1" applyAlignment="1">
      <alignment horizontal="center" vertical="center"/>
    </xf>
    <xf numFmtId="166" fontId="43" fillId="20" borderId="14" xfId="7" applyFont="1" applyFill="1" applyBorder="1" applyAlignment="1">
      <alignment horizontal="center" vertical="center"/>
    </xf>
    <xf numFmtId="1" fontId="43" fillId="0" borderId="34" xfId="7" applyNumberFormat="1" applyFont="1" applyFill="1" applyBorder="1" applyAlignment="1">
      <alignment horizontal="center" vertical="center" wrapText="1"/>
    </xf>
    <xf numFmtId="166" fontId="43" fillId="0" borderId="14" xfId="7" applyFont="1" applyFill="1" applyBorder="1" applyAlignment="1">
      <alignment horizontal="left" vertical="center"/>
    </xf>
    <xf numFmtId="164" fontId="34" fillId="17" borderId="14" xfId="7" applyNumberFormat="1" applyFont="1" applyFill="1" applyBorder="1" applyAlignment="1">
      <alignment horizontal="center" vertical="center"/>
    </xf>
    <xf numFmtId="164" fontId="34" fillId="17" borderId="12" xfId="7" applyNumberFormat="1" applyFont="1" applyFill="1" applyBorder="1" applyAlignment="1">
      <alignment horizontal="center" vertical="center"/>
    </xf>
    <xf numFmtId="1" fontId="34" fillId="17" borderId="12" xfId="7" applyNumberFormat="1" applyFont="1" applyFill="1" applyBorder="1" applyAlignment="1">
      <alignment horizontal="center" vertical="center"/>
    </xf>
    <xf numFmtId="1" fontId="34" fillId="20" borderId="12" xfId="7" applyNumberFormat="1" applyFont="1" applyFill="1" applyBorder="1" applyAlignment="1">
      <alignment horizontal="center" vertical="center"/>
    </xf>
    <xf numFmtId="164" fontId="49" fillId="20" borderId="12" xfId="7" applyNumberFormat="1" applyFont="1" applyFill="1" applyBorder="1" applyAlignment="1">
      <alignment horizontal="center" vertical="center"/>
    </xf>
    <xf numFmtId="166" fontId="43" fillId="13" borderId="14" xfId="7" applyFont="1" applyFill="1" applyBorder="1" applyAlignment="1">
      <alignment vertical="center" wrapText="1"/>
    </xf>
    <xf numFmtId="1" fontId="43" fillId="13" borderId="34" xfId="7" applyNumberFormat="1" applyFont="1" applyFill="1" applyBorder="1" applyAlignment="1">
      <alignment horizontal="center" vertical="center" wrapText="1"/>
    </xf>
    <xf numFmtId="2" fontId="34" fillId="20" borderId="12" xfId="7" applyNumberFormat="1" applyFont="1" applyFill="1" applyBorder="1" applyAlignment="1">
      <alignment horizontal="center" vertical="center"/>
    </xf>
    <xf numFmtId="166" fontId="43" fillId="0" borderId="12" xfId="7" applyFont="1" applyFill="1" applyBorder="1" applyAlignment="1">
      <alignment vertical="top" wrapText="1"/>
    </xf>
    <xf numFmtId="166" fontId="43" fillId="13" borderId="12" xfId="7" applyFont="1" applyFill="1" applyBorder="1" applyAlignment="1">
      <alignment vertical="top" wrapText="1"/>
    </xf>
    <xf numFmtId="166" fontId="43" fillId="20" borderId="12" xfId="7" applyFont="1" applyFill="1" applyBorder="1" applyAlignment="1">
      <alignment vertical="center" wrapText="1"/>
    </xf>
    <xf numFmtId="166" fontId="43" fillId="13" borderId="13" xfId="7" applyFont="1" applyFill="1" applyBorder="1" applyAlignment="1">
      <alignment vertical="top" wrapText="1"/>
    </xf>
    <xf numFmtId="1" fontId="43" fillId="0" borderId="33" xfId="7" applyNumberFormat="1" applyFont="1" applyFill="1" applyBorder="1" applyAlignment="1">
      <alignment horizontal="center" vertical="center" wrapText="1"/>
    </xf>
    <xf numFmtId="164" fontId="34" fillId="17" borderId="51" xfId="7" applyNumberFormat="1" applyFont="1" applyFill="1" applyBorder="1" applyAlignment="1">
      <alignment horizontal="center" vertical="center"/>
    </xf>
    <xf numFmtId="166" fontId="43" fillId="13" borderId="54" xfId="7" applyFont="1" applyFill="1" applyBorder="1" applyAlignment="1">
      <alignment vertical="top" wrapText="1"/>
    </xf>
    <xf numFmtId="1" fontId="34" fillId="20" borderId="54" xfId="7" applyNumberFormat="1" applyFont="1" applyFill="1" applyBorder="1" applyAlignment="1">
      <alignment vertical="center" wrapText="1"/>
    </xf>
    <xf numFmtId="166" fontId="43" fillId="0" borderId="2" xfId="0" applyFont="1" applyFill="1" applyBorder="1" applyAlignment="1">
      <alignment wrapText="1"/>
    </xf>
    <xf numFmtId="0" fontId="0" fillId="18" borderId="0" xfId="0" applyNumberFormat="1" applyFill="1"/>
    <xf numFmtId="166" fontId="9" fillId="0" borderId="0" xfId="0" applyFont="1" applyAlignment="1">
      <alignment horizontal="left"/>
    </xf>
    <xf numFmtId="9" fontId="9" fillId="16" borderId="0" xfId="0" applyNumberFormat="1" applyFont="1" applyFill="1" applyAlignment="1">
      <alignment horizontal="right"/>
    </xf>
    <xf numFmtId="9" fontId="11" fillId="16" borderId="0" xfId="0" applyNumberFormat="1" applyFont="1" applyFill="1" applyAlignment="1">
      <alignment horizontal="right"/>
    </xf>
    <xf numFmtId="9" fontId="0" fillId="16" borderId="0" xfId="0" applyNumberFormat="1" applyFill="1" applyAlignment="1">
      <alignment horizontal="right"/>
    </xf>
    <xf numFmtId="9" fontId="65" fillId="16" borderId="0" xfId="0" applyNumberFormat="1" applyFont="1" applyFill="1" applyAlignment="1">
      <alignment horizontal="right"/>
    </xf>
    <xf numFmtId="1" fontId="0" fillId="16" borderId="0" xfId="0" applyNumberFormat="1" applyFill="1" applyAlignment="1">
      <alignment horizontal="right"/>
    </xf>
    <xf numFmtId="1" fontId="9" fillId="16" borderId="0" xfId="0" applyNumberFormat="1" applyFont="1" applyFill="1" applyAlignment="1">
      <alignment horizontal="right"/>
    </xf>
    <xf numFmtId="164" fontId="0" fillId="16" borderId="0" xfId="0" applyNumberFormat="1" applyFill="1" applyAlignment="1">
      <alignment horizontal="right"/>
    </xf>
    <xf numFmtId="20" fontId="9" fillId="16" borderId="0" xfId="0" quotePrefix="1" applyNumberFormat="1" applyFont="1" applyFill="1" applyAlignment="1">
      <alignment horizontal="right"/>
    </xf>
    <xf numFmtId="9" fontId="9" fillId="16" borderId="0" xfId="0" quotePrefix="1" applyNumberFormat="1" applyFont="1" applyFill="1" applyAlignment="1">
      <alignment horizontal="right"/>
    </xf>
    <xf numFmtId="9" fontId="0" fillId="16" borderId="0" xfId="3" applyFont="1" applyFill="1"/>
    <xf numFmtId="2" fontId="0" fillId="16" borderId="0" xfId="0" applyNumberFormat="1" applyFill="1"/>
    <xf numFmtId="9" fontId="0" fillId="16" borderId="0" xfId="0" applyNumberFormat="1" applyFill="1"/>
    <xf numFmtId="9" fontId="0" fillId="17" borderId="0" xfId="3" applyFont="1" applyFill="1"/>
    <xf numFmtId="2" fontId="0" fillId="17" borderId="0" xfId="3" applyNumberFormat="1" applyFont="1" applyFill="1"/>
    <xf numFmtId="166" fontId="14" fillId="0" borderId="0" xfId="0" applyFont="1"/>
    <xf numFmtId="166" fontId="76" fillId="0" borderId="0" xfId="0" applyFont="1" applyFill="1"/>
    <xf numFmtId="166" fontId="76" fillId="0" borderId="0" xfId="0" applyFont="1"/>
    <xf numFmtId="166" fontId="77" fillId="0" borderId="0" xfId="0" applyFont="1" applyAlignment="1">
      <alignment vertical="center"/>
    </xf>
    <xf numFmtId="1" fontId="39" fillId="0" borderId="0" xfId="0" applyNumberFormat="1" applyFont="1"/>
    <xf numFmtId="166" fontId="33" fillId="0" borderId="12" xfId="0" applyFont="1" applyFill="1" applyBorder="1" applyAlignment="1">
      <alignment horizontal="left" vertical="center" wrapText="1"/>
    </xf>
    <xf numFmtId="166" fontId="43" fillId="13" borderId="12" xfId="7" applyFont="1" applyFill="1" applyBorder="1" applyAlignment="1">
      <alignment horizontal="left" vertical="center"/>
    </xf>
    <xf numFmtId="166" fontId="43" fillId="13" borderId="54" xfId="7" applyFont="1" applyFill="1" applyBorder="1" applyAlignment="1">
      <alignment horizontal="left" vertical="center"/>
    </xf>
    <xf numFmtId="1" fontId="9" fillId="0" borderId="0" xfId="0" applyNumberFormat="1" applyFont="1"/>
    <xf numFmtId="1" fontId="9" fillId="16" borderId="0" xfId="0" applyNumberFormat="1" applyFont="1" applyFill="1"/>
    <xf numFmtId="166" fontId="43" fillId="0" borderId="47" xfId="0" applyFont="1" applyFill="1" applyBorder="1" applyAlignment="1">
      <alignment vertical="center" wrapText="1"/>
    </xf>
    <xf numFmtId="166" fontId="43" fillId="0" borderId="12" xfId="7" applyFont="1" applyFill="1" applyBorder="1" applyAlignment="1">
      <alignment wrapText="1"/>
    </xf>
    <xf numFmtId="164" fontId="34" fillId="20" borderId="60" xfId="7" applyNumberFormat="1" applyFont="1" applyFill="1" applyBorder="1" applyAlignment="1">
      <alignment horizontal="center" vertical="center" wrapText="1"/>
    </xf>
    <xf numFmtId="166" fontId="43" fillId="0" borderId="12" xfId="7" applyFont="1" applyFill="1" applyBorder="1" applyAlignment="1">
      <alignment vertical="center" wrapText="1"/>
    </xf>
    <xf numFmtId="166" fontId="43" fillId="0" borderId="54" xfId="7" applyFont="1" applyFill="1" applyBorder="1" applyAlignment="1">
      <alignment horizontal="left" wrapText="1"/>
    </xf>
    <xf numFmtId="164" fontId="34" fillId="17" borderId="25" xfId="7" applyNumberFormat="1" applyFont="1" applyFill="1" applyBorder="1" applyAlignment="1">
      <alignment horizontal="center" vertical="center"/>
    </xf>
    <xf numFmtId="9" fontId="9" fillId="16" borderId="0" xfId="3" applyFont="1" applyFill="1"/>
    <xf numFmtId="9" fontId="11" fillId="17" borderId="0" xfId="0" applyNumberFormat="1" applyFont="1" applyFill="1" applyAlignment="1">
      <alignment horizontal="right"/>
    </xf>
    <xf numFmtId="1" fontId="14" fillId="16" borderId="0" xfId="0" applyNumberFormat="1" applyFont="1" applyFill="1" applyAlignment="1">
      <alignment horizontal="center"/>
    </xf>
    <xf numFmtId="166" fontId="38" fillId="0" borderId="0" xfId="0" applyFont="1" applyFill="1" applyBorder="1" applyAlignment="1">
      <alignment vertical="center" wrapText="1"/>
    </xf>
    <xf numFmtId="169" fontId="33" fillId="0" borderId="0" xfId="0" applyNumberFormat="1" applyFont="1"/>
    <xf numFmtId="166" fontId="43" fillId="0" borderId="12" xfId="7" applyFont="1" applyFill="1" applyBorder="1" applyAlignment="1">
      <alignment vertical="center"/>
    </xf>
    <xf numFmtId="166" fontId="43" fillId="0" borderId="51" xfId="7" applyFont="1" applyFill="1" applyBorder="1" applyAlignment="1">
      <alignment horizontal="left"/>
    </xf>
    <xf numFmtId="166" fontId="43" fillId="13" borderId="26" xfId="7" applyFont="1" applyFill="1" applyBorder="1" applyAlignment="1">
      <alignment horizontal="left" vertical="center" wrapText="1"/>
    </xf>
    <xf numFmtId="166" fontId="33" fillId="0" borderId="12" xfId="7" applyFont="1" applyFill="1" applyBorder="1" applyAlignment="1">
      <alignment horizontal="left" vertical="center" wrapText="1"/>
    </xf>
    <xf numFmtId="2" fontId="33" fillId="10" borderId="12" xfId="0" applyNumberFormat="1" applyFont="1" applyFill="1" applyBorder="1" applyAlignment="1">
      <alignment vertical="center"/>
    </xf>
    <xf numFmtId="0" fontId="41" fillId="0" borderId="0" xfId="0" applyNumberFormat="1" applyFont="1" applyFill="1" applyAlignment="1">
      <alignment horizontal="left" vertical="center"/>
    </xf>
    <xf numFmtId="166" fontId="43" fillId="13" borderId="26" xfId="7" applyFont="1" applyFill="1" applyBorder="1" applyAlignment="1">
      <alignment vertical="center" wrapText="1"/>
    </xf>
    <xf numFmtId="166" fontId="43" fillId="0" borderId="4" xfId="0" applyFont="1" applyFill="1" applyBorder="1" applyAlignment="1">
      <alignment horizontal="left"/>
    </xf>
    <xf numFmtId="166" fontId="9" fillId="0" borderId="12" xfId="0" applyFont="1" applyFill="1" applyBorder="1" applyAlignment="1">
      <alignment wrapText="1"/>
    </xf>
    <xf numFmtId="166" fontId="9" fillId="0" borderId="12" xfId="0" applyFont="1" applyFill="1" applyBorder="1"/>
    <xf numFmtId="9" fontId="13" fillId="0" borderId="0" xfId="0" applyNumberFormat="1" applyFont="1" applyFill="1"/>
    <xf numFmtId="2" fontId="13" fillId="0" borderId="0" xfId="0" applyNumberFormat="1" applyFont="1" applyFill="1"/>
    <xf numFmtId="168" fontId="13" fillId="0" borderId="0" xfId="0" applyNumberFormat="1" applyFont="1" applyFill="1"/>
    <xf numFmtId="166" fontId="11" fillId="33" borderId="14" xfId="0" applyFont="1" applyFill="1" applyBorder="1" applyAlignment="1">
      <alignment vertical="center" textRotation="90" wrapText="1"/>
    </xf>
    <xf numFmtId="1" fontId="0" fillId="33" borderId="14" xfId="0" applyNumberFormat="1" applyFill="1" applyBorder="1" applyAlignment="1">
      <alignment horizontal="center" vertical="center"/>
    </xf>
    <xf numFmtId="164" fontId="16" fillId="0" borderId="0" xfId="0" applyNumberFormat="1" applyFont="1" applyFill="1" applyBorder="1" applyAlignment="1">
      <alignment horizontal="center" vertical="center" wrapText="1"/>
    </xf>
    <xf numFmtId="164" fontId="16" fillId="0" borderId="0" xfId="0" applyNumberFormat="1" applyFont="1" applyFill="1" applyBorder="1" applyAlignment="1">
      <alignment horizontal="center" vertical="center"/>
    </xf>
    <xf numFmtId="164" fontId="18"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xf>
    <xf numFmtId="1" fontId="21" fillId="6" borderId="0" xfId="0" applyNumberFormat="1" applyFont="1" applyFill="1" applyAlignment="1">
      <alignment horizontal="left" vertical="center" wrapText="1"/>
    </xf>
    <xf numFmtId="1" fontId="16" fillId="32" borderId="25" xfId="0" applyNumberFormat="1" applyFont="1" applyFill="1" applyBorder="1" applyAlignment="1">
      <alignment horizontal="center" vertical="center" wrapText="1"/>
    </xf>
    <xf numFmtId="166" fontId="16" fillId="32" borderId="12" xfId="0" applyFont="1" applyFill="1" applyBorder="1" applyAlignment="1">
      <alignment horizontal="left" vertical="center" wrapText="1"/>
    </xf>
    <xf numFmtId="164" fontId="16" fillId="32" borderId="12" xfId="0" applyNumberFormat="1" applyFont="1" applyFill="1" applyBorder="1" applyAlignment="1">
      <alignment horizontal="center" vertical="center"/>
    </xf>
    <xf numFmtId="1" fontId="16" fillId="32" borderId="12" xfId="0" applyNumberFormat="1" applyFont="1" applyFill="1" applyBorder="1" applyAlignment="1">
      <alignment horizontal="center" vertical="center"/>
    </xf>
    <xf numFmtId="166" fontId="16" fillId="32" borderId="12" xfId="0" applyFont="1" applyFill="1" applyBorder="1" applyAlignment="1">
      <alignment vertical="center" wrapText="1"/>
    </xf>
    <xf numFmtId="164" fontId="11" fillId="2" borderId="1" xfId="0" applyNumberFormat="1" applyFont="1" applyFill="1" applyBorder="1" applyAlignment="1">
      <alignment vertical="center"/>
    </xf>
    <xf numFmtId="164" fontId="11" fillId="2" borderId="2" xfId="0" applyNumberFormat="1" applyFont="1" applyFill="1" applyBorder="1" applyAlignment="1">
      <alignment vertical="center"/>
    </xf>
    <xf numFmtId="166" fontId="0" fillId="0" borderId="0" xfId="0" applyBorder="1"/>
    <xf numFmtId="166" fontId="11" fillId="0" borderId="0" xfId="0" applyFont="1" applyBorder="1" applyAlignment="1">
      <alignment wrapText="1"/>
    </xf>
    <xf numFmtId="166" fontId="21" fillId="9" borderId="2" xfId="0" applyFont="1" applyFill="1" applyBorder="1" applyAlignment="1">
      <alignment horizontal="left" vertical="center" wrapText="1"/>
    </xf>
    <xf numFmtId="166" fontId="21" fillId="9" borderId="68" xfId="0" applyFont="1" applyFill="1" applyBorder="1" applyAlignment="1">
      <alignment horizontal="left" vertical="center" wrapText="1"/>
    </xf>
    <xf numFmtId="166" fontId="21" fillId="9" borderId="69" xfId="0" applyFont="1" applyFill="1" applyBorder="1" applyAlignment="1">
      <alignment horizontal="left" vertical="center" wrapText="1"/>
    </xf>
    <xf numFmtId="1" fontId="21" fillId="9" borderId="68" xfId="0" applyNumberFormat="1" applyFont="1" applyFill="1" applyBorder="1" applyAlignment="1">
      <alignment horizontal="right" vertical="center" wrapText="1"/>
    </xf>
    <xf numFmtId="1" fontId="21" fillId="9" borderId="69" xfId="0" applyNumberFormat="1" applyFont="1" applyFill="1" applyBorder="1" applyAlignment="1">
      <alignment horizontal="right" vertical="center" wrapText="1"/>
    </xf>
    <xf numFmtId="1" fontId="21" fillId="9" borderId="70" xfId="0" applyNumberFormat="1" applyFont="1" applyFill="1" applyBorder="1" applyAlignment="1">
      <alignment horizontal="right" vertical="center" wrapText="1"/>
    </xf>
    <xf numFmtId="1" fontId="21" fillId="9" borderId="69" xfId="0" applyNumberFormat="1" applyFont="1" applyFill="1" applyBorder="1" applyAlignment="1">
      <alignment horizontal="center" vertical="center" wrapText="1"/>
    </xf>
    <xf numFmtId="1" fontId="21" fillId="9" borderId="70" xfId="0" applyNumberFormat="1" applyFont="1" applyFill="1" applyBorder="1" applyAlignment="1">
      <alignment horizontal="center" vertical="center" wrapText="1"/>
    </xf>
    <xf numFmtId="166" fontId="21" fillId="9" borderId="69" xfId="0" applyFont="1" applyFill="1" applyBorder="1" applyAlignment="1">
      <alignment horizontal="center" vertical="center" wrapText="1"/>
    </xf>
    <xf numFmtId="166" fontId="19" fillId="9" borderId="68" xfId="0" applyFont="1" applyFill="1" applyBorder="1" applyAlignment="1">
      <alignment horizontal="left" vertical="center" textRotation="90" wrapText="1"/>
    </xf>
    <xf numFmtId="166" fontId="19" fillId="9" borderId="69" xfId="0" applyFont="1" applyFill="1" applyBorder="1" applyAlignment="1">
      <alignment horizontal="left" vertical="center" textRotation="90" wrapText="1"/>
    </xf>
    <xf numFmtId="169" fontId="67" fillId="25" borderId="0" xfId="0" applyNumberFormat="1" applyFont="1" applyFill="1" applyAlignment="1">
      <alignment horizontal="center" vertical="center" textRotation="90" wrapText="1"/>
    </xf>
    <xf numFmtId="166" fontId="67" fillId="25" borderId="0" xfId="0" applyFont="1" applyFill="1" applyAlignment="1">
      <alignment horizontal="center" vertical="center" textRotation="90" wrapText="1"/>
    </xf>
    <xf numFmtId="169" fontId="68" fillId="25" borderId="0" xfId="0" applyNumberFormat="1" applyFont="1" applyFill="1" applyAlignment="1">
      <alignment horizontal="center" vertical="center" wrapText="1"/>
    </xf>
    <xf numFmtId="166" fontId="68" fillId="25" borderId="0" xfId="0" applyFont="1" applyFill="1" applyAlignment="1">
      <alignment horizontal="center" vertical="center" wrapText="1"/>
    </xf>
    <xf numFmtId="1" fontId="78" fillId="36" borderId="7" xfId="0" applyNumberFormat="1" applyFont="1" applyFill="1" applyBorder="1" applyAlignment="1">
      <alignment horizontal="left" vertical="center"/>
    </xf>
    <xf numFmtId="164" fontId="21" fillId="9" borderId="2" xfId="0" applyNumberFormat="1" applyFont="1" applyFill="1" applyBorder="1" applyAlignment="1">
      <alignment horizontal="left" vertical="center" wrapText="1"/>
    </xf>
    <xf numFmtId="164" fontId="21" fillId="9" borderId="69" xfId="0" applyNumberFormat="1" applyFont="1" applyFill="1" applyBorder="1" applyAlignment="1">
      <alignment horizontal="left" vertical="center" wrapText="1"/>
    </xf>
    <xf numFmtId="164" fontId="19" fillId="9" borderId="68" xfId="0" applyNumberFormat="1" applyFont="1" applyFill="1" applyBorder="1" applyAlignment="1">
      <alignment horizontal="center" vertical="center" textRotation="90" wrapText="1"/>
    </xf>
    <xf numFmtId="164" fontId="11" fillId="19" borderId="21" xfId="0" applyNumberFormat="1" applyFont="1" applyFill="1" applyBorder="1" applyAlignment="1">
      <alignment horizontal="right" vertical="center"/>
    </xf>
    <xf numFmtId="164" fontId="31" fillId="19" borderId="0" xfId="0" applyNumberFormat="1" applyFont="1" applyFill="1" applyBorder="1" applyAlignment="1">
      <alignment horizontal="right" vertical="center" wrapText="1"/>
    </xf>
    <xf numFmtId="164" fontId="0" fillId="0" borderId="0" xfId="0" applyNumberFormat="1" applyAlignment="1">
      <alignment vertical="center"/>
    </xf>
    <xf numFmtId="166" fontId="33" fillId="0" borderId="12" xfId="0" applyFont="1" applyFill="1" applyBorder="1" applyAlignment="1">
      <alignment vertical="center" wrapText="1"/>
    </xf>
    <xf numFmtId="1" fontId="40" fillId="16" borderId="12" xfId="0" applyNumberFormat="1" applyFont="1" applyFill="1" applyBorder="1" applyAlignment="1">
      <alignment horizontal="center" vertical="center" wrapText="1"/>
    </xf>
    <xf numFmtId="1" fontId="40" fillId="16" borderId="12" xfId="0" applyNumberFormat="1" applyFont="1" applyFill="1" applyBorder="1" applyAlignment="1">
      <alignment horizontal="center" vertical="center"/>
    </xf>
    <xf numFmtId="164" fontId="40" fillId="20" borderId="51" xfId="0" applyNumberFormat="1" applyFont="1" applyFill="1" applyBorder="1" applyAlignment="1">
      <alignment horizontal="center" vertical="center" wrapText="1"/>
    </xf>
    <xf numFmtId="166" fontId="34" fillId="0" borderId="53" xfId="0" applyFont="1" applyFill="1" applyBorder="1" applyAlignment="1">
      <alignment horizontal="center" vertical="center" textRotation="90" wrapText="1"/>
    </xf>
    <xf numFmtId="0" fontId="0" fillId="0" borderId="0" xfId="0" applyNumberFormat="1" applyAlignment="1">
      <alignment wrapText="1"/>
    </xf>
    <xf numFmtId="166" fontId="0" fillId="13" borderId="0" xfId="0" applyFill="1" applyAlignment="1">
      <alignment wrapText="1"/>
    </xf>
    <xf numFmtId="2" fontId="40" fillId="17" borderId="47" xfId="0" applyNumberFormat="1" applyFont="1" applyFill="1" applyBorder="1" applyAlignment="1">
      <alignment horizontal="center" vertical="center" wrapText="1"/>
    </xf>
    <xf numFmtId="2" fontId="9" fillId="0" borderId="0" xfId="0" applyNumberFormat="1" applyFont="1"/>
    <xf numFmtId="164" fontId="9" fillId="0" borderId="0" xfId="0" applyNumberFormat="1" applyFont="1"/>
    <xf numFmtId="43" fontId="9" fillId="0" borderId="0" xfId="4" applyFont="1"/>
    <xf numFmtId="164" fontId="50" fillId="20" borderId="51" xfId="0" applyNumberFormat="1" applyFont="1" applyFill="1" applyBorder="1" applyAlignment="1">
      <alignment horizontal="center" vertical="center" wrapText="1"/>
    </xf>
    <xf numFmtId="164" fontId="40" fillId="17" borderId="13" xfId="0" applyNumberFormat="1" applyFont="1" applyFill="1" applyBorder="1" applyAlignment="1">
      <alignment horizontal="center" vertical="center" wrapText="1"/>
    </xf>
    <xf numFmtId="2" fontId="63" fillId="0" borderId="0" xfId="0" applyNumberFormat="1" applyFont="1"/>
    <xf numFmtId="2" fontId="10" fillId="34" borderId="0" xfId="4" applyNumberFormat="1" applyFont="1" applyFill="1" applyBorder="1" applyAlignment="1">
      <alignment horizontal="center"/>
    </xf>
    <xf numFmtId="164" fontId="11" fillId="0" borderId="0" xfId="0" applyNumberFormat="1" applyFont="1" applyFill="1" applyBorder="1" applyAlignment="1">
      <alignment horizontal="center" vertical="center" textRotation="90" wrapText="1"/>
    </xf>
    <xf numFmtId="2" fontId="21" fillId="6" borderId="0" xfId="0" applyNumberFormat="1" applyFont="1" applyFill="1" applyAlignment="1">
      <alignment horizontal="center" vertical="center" wrapText="1"/>
    </xf>
    <xf numFmtId="166" fontId="33" fillId="0" borderId="0" xfId="0" applyFont="1" applyFill="1" applyBorder="1" applyAlignment="1">
      <alignment horizontal="left" vertical="center" wrapText="1"/>
    </xf>
    <xf numFmtId="166" fontId="33" fillId="0" borderId="12" xfId="0" applyFont="1" applyFill="1" applyBorder="1" applyAlignment="1">
      <alignment horizontal="left" vertical="center" wrapText="1"/>
    </xf>
    <xf numFmtId="164" fontId="80" fillId="15" borderId="12" xfId="0" applyNumberFormat="1" applyFont="1" applyFill="1" applyBorder="1" applyAlignment="1">
      <alignment horizontal="center" vertical="center" wrapText="1"/>
    </xf>
    <xf numFmtId="1" fontId="80" fillId="15" borderId="12" xfId="0" applyNumberFormat="1" applyFont="1" applyFill="1" applyBorder="1" applyAlignment="1">
      <alignment horizontal="center" vertical="center" wrapText="1"/>
    </xf>
    <xf numFmtId="166" fontId="33" fillId="0" borderId="12" xfId="0" applyFont="1" applyFill="1" applyBorder="1" applyAlignment="1">
      <alignment vertical="center"/>
    </xf>
    <xf numFmtId="166" fontId="33" fillId="0" borderId="12" xfId="0" applyFont="1" applyBorder="1" applyAlignment="1">
      <alignment vertical="center" wrapText="1"/>
    </xf>
    <xf numFmtId="166" fontId="33" fillId="0" borderId="47" xfId="0" applyFont="1" applyFill="1" applyBorder="1" applyAlignment="1">
      <alignment horizontal="left" vertical="center" wrapText="1"/>
    </xf>
    <xf numFmtId="166" fontId="33" fillId="0" borderId="14" xfId="0" applyFont="1" applyFill="1" applyBorder="1" applyAlignment="1">
      <alignment horizontal="left" vertical="center" wrapText="1"/>
    </xf>
    <xf numFmtId="164" fontId="11" fillId="2" borderId="5" xfId="0" applyNumberFormat="1" applyFont="1" applyFill="1" applyBorder="1" applyAlignment="1">
      <alignment vertical="center"/>
    </xf>
    <xf numFmtId="164" fontId="11" fillId="2" borderId="3" xfId="0" applyNumberFormat="1" applyFont="1" applyFill="1" applyBorder="1" applyAlignment="1">
      <alignment vertical="center"/>
    </xf>
    <xf numFmtId="164" fontId="11" fillId="2" borderId="4" xfId="0" applyNumberFormat="1" applyFont="1" applyFill="1" applyBorder="1" applyAlignment="1">
      <alignment vertical="center"/>
    </xf>
    <xf numFmtId="164" fontId="11" fillId="2" borderId="6" xfId="0" applyNumberFormat="1" applyFont="1" applyFill="1" applyBorder="1" applyAlignment="1">
      <alignment vertical="center"/>
    </xf>
    <xf numFmtId="166" fontId="11" fillId="0" borderId="8" xfId="0" applyFont="1" applyBorder="1" applyAlignment="1">
      <alignment wrapText="1"/>
    </xf>
    <xf numFmtId="164" fontId="11" fillId="0" borderId="9" xfId="0" applyNumberFormat="1" applyFont="1" applyBorder="1" applyAlignment="1">
      <alignment horizontal="center" vertical="center" textRotation="90" wrapText="1"/>
    </xf>
    <xf numFmtId="166" fontId="11" fillId="0" borderId="9" xfId="0" applyFont="1" applyBorder="1" applyAlignment="1">
      <alignment horizontal="center" vertical="center" wrapText="1"/>
    </xf>
    <xf numFmtId="164" fontId="11" fillId="0" borderId="10" xfId="0" applyNumberFormat="1" applyFont="1" applyBorder="1" applyAlignment="1">
      <alignment horizontal="center" vertical="center" textRotation="90" wrapText="1"/>
    </xf>
    <xf numFmtId="164" fontId="11" fillId="13" borderId="0" xfId="0" applyNumberFormat="1" applyFont="1" applyFill="1" applyBorder="1" applyAlignment="1">
      <alignment vertical="center"/>
    </xf>
    <xf numFmtId="164" fontId="11" fillId="13" borderId="0" xfId="0" applyNumberFormat="1" applyFont="1" applyFill="1" applyBorder="1" applyAlignment="1">
      <alignment horizontal="center" vertical="center" textRotation="90" wrapText="1"/>
    </xf>
    <xf numFmtId="1" fontId="21" fillId="13" borderId="0" xfId="0" applyNumberFormat="1" applyFont="1" applyFill="1" applyBorder="1" applyAlignment="1">
      <alignment horizontal="left" vertical="center" wrapText="1"/>
    </xf>
    <xf numFmtId="2" fontId="81" fillId="3" borderId="0" xfId="0" applyNumberFormat="1" applyFont="1" applyFill="1" applyAlignment="1">
      <alignment horizontal="center" vertical="center"/>
    </xf>
    <xf numFmtId="9" fontId="64" fillId="3" borderId="0" xfId="3" applyFont="1" applyFill="1" applyAlignment="1">
      <alignment horizontal="center" vertical="center"/>
    </xf>
    <xf numFmtId="165" fontId="82" fillId="33" borderId="12" xfId="0" applyNumberFormat="1" applyFont="1" applyFill="1" applyBorder="1" applyAlignment="1">
      <alignment horizontal="center" vertical="center"/>
    </xf>
    <xf numFmtId="165" fontId="82" fillId="21" borderId="13" xfId="0" applyNumberFormat="1" applyFont="1" applyFill="1" applyBorder="1" applyAlignment="1">
      <alignment horizontal="center" vertical="center"/>
    </xf>
    <xf numFmtId="165" fontId="42" fillId="37" borderId="12" xfId="0" applyNumberFormat="1" applyFont="1" applyFill="1" applyBorder="1" applyAlignment="1">
      <alignment horizontal="center" vertical="center"/>
    </xf>
    <xf numFmtId="15" fontId="51" fillId="0" borderId="0" xfId="0" applyNumberFormat="1" applyFont="1" applyFill="1" applyBorder="1" applyAlignment="1">
      <alignment vertical="center" wrapText="1"/>
    </xf>
    <xf numFmtId="166" fontId="51" fillId="0" borderId="4" xfId="0" applyFont="1" applyFill="1" applyBorder="1" applyAlignment="1">
      <alignment vertical="center" wrapText="1"/>
    </xf>
    <xf numFmtId="166" fontId="9" fillId="13" borderId="0" xfId="0" applyFont="1" applyFill="1" applyBorder="1" applyAlignment="1">
      <alignment vertical="center"/>
    </xf>
    <xf numFmtId="1" fontId="21" fillId="6" borderId="0" xfId="0" applyNumberFormat="1" applyFont="1" applyFill="1" applyBorder="1" applyAlignment="1">
      <alignment horizontal="left" vertical="center" wrapText="1"/>
    </xf>
    <xf numFmtId="164" fontId="20" fillId="6" borderId="0" xfId="0" applyNumberFormat="1" applyFont="1" applyFill="1" applyBorder="1" applyAlignment="1">
      <alignment horizontal="center" vertical="center"/>
    </xf>
    <xf numFmtId="164" fontId="18" fillId="2" borderId="0" xfId="0" applyNumberFormat="1" applyFont="1" applyFill="1" applyBorder="1" applyAlignment="1">
      <alignment horizontal="center" vertical="center"/>
    </xf>
    <xf numFmtId="164" fontId="16" fillId="13" borderId="0" xfId="0" applyNumberFormat="1" applyFont="1" applyFill="1" applyBorder="1" applyAlignment="1">
      <alignment horizontal="center" vertical="center"/>
    </xf>
    <xf numFmtId="166" fontId="21" fillId="6" borderId="1" xfId="0" applyFont="1" applyFill="1" applyBorder="1" applyAlignment="1">
      <alignment horizontal="left" vertical="center" wrapText="1"/>
    </xf>
    <xf numFmtId="166" fontId="21" fillId="6" borderId="2" xfId="0" applyFont="1" applyFill="1" applyBorder="1" applyAlignment="1">
      <alignment horizontal="left" vertical="center" wrapText="1"/>
    </xf>
    <xf numFmtId="1" fontId="21" fillId="6" borderId="2" xfId="0" applyNumberFormat="1" applyFont="1" applyFill="1" applyBorder="1" applyAlignment="1">
      <alignment horizontal="left" vertical="center" wrapText="1"/>
    </xf>
    <xf numFmtId="1" fontId="21" fillId="6" borderId="5" xfId="0" applyNumberFormat="1" applyFont="1" applyFill="1" applyBorder="1" applyAlignment="1">
      <alignment horizontal="left" vertical="center" wrapText="1"/>
    </xf>
    <xf numFmtId="166" fontId="21" fillId="6" borderId="63" xfId="0" applyFont="1" applyFill="1" applyBorder="1" applyAlignment="1">
      <alignment horizontal="left" vertical="center" wrapText="1"/>
    </xf>
    <xf numFmtId="166" fontId="21" fillId="6" borderId="0" xfId="0" applyFont="1" applyFill="1" applyBorder="1" applyAlignment="1">
      <alignment horizontal="left" vertical="center" wrapText="1"/>
    </xf>
    <xf numFmtId="2" fontId="21" fillId="6" borderId="0" xfId="0" applyNumberFormat="1" applyFont="1" applyFill="1" applyBorder="1" applyAlignment="1">
      <alignment horizontal="center" vertical="center" wrapText="1"/>
    </xf>
    <xf numFmtId="1" fontId="21" fillId="6" borderId="37" xfId="0" applyNumberFormat="1" applyFont="1" applyFill="1" applyBorder="1" applyAlignment="1">
      <alignment horizontal="left" vertical="center" wrapText="1"/>
    </xf>
    <xf numFmtId="164" fontId="16" fillId="32" borderId="38" xfId="0" applyNumberFormat="1" applyFont="1" applyFill="1" applyBorder="1" applyAlignment="1">
      <alignment horizontal="center" vertical="center"/>
    </xf>
    <xf numFmtId="166" fontId="10" fillId="6" borderId="63" xfId="0" applyFont="1" applyFill="1" applyBorder="1" applyAlignment="1">
      <alignment textRotation="90" wrapText="1"/>
    </xf>
    <xf numFmtId="1" fontId="11" fillId="6" borderId="0" xfId="0" applyNumberFormat="1" applyFont="1" applyFill="1" applyBorder="1" applyAlignment="1">
      <alignment horizontal="center" vertical="center"/>
    </xf>
    <xf numFmtId="166" fontId="10" fillId="2" borderId="63" xfId="0" applyFont="1" applyFill="1" applyBorder="1" applyAlignment="1">
      <alignment textRotation="90" wrapText="1"/>
    </xf>
    <xf numFmtId="1" fontId="0" fillId="2" borderId="0" xfId="0" applyNumberFormat="1" applyFill="1" applyBorder="1" applyAlignment="1">
      <alignment horizontal="center" vertical="center"/>
    </xf>
    <xf numFmtId="166" fontId="18" fillId="2" borderId="0" xfId="0" applyFont="1" applyFill="1" applyBorder="1" applyAlignment="1">
      <alignment horizontal="center" vertical="center"/>
    </xf>
    <xf numFmtId="164" fontId="18" fillId="2" borderId="37" xfId="0" applyNumberFormat="1" applyFont="1" applyFill="1" applyBorder="1" applyAlignment="1">
      <alignment horizontal="center" vertical="center"/>
    </xf>
    <xf numFmtId="164" fontId="0" fillId="5" borderId="38" xfId="0" applyNumberFormat="1" applyFill="1" applyBorder="1" applyAlignment="1">
      <alignment horizontal="center" vertical="center"/>
    </xf>
    <xf numFmtId="1" fontId="9" fillId="5" borderId="54" xfId="0" applyNumberFormat="1" applyFont="1" applyFill="1" applyBorder="1" applyAlignment="1">
      <alignment horizontal="center" vertical="center"/>
    </xf>
    <xf numFmtId="166" fontId="0" fillId="5" borderId="54" xfId="0" applyFill="1" applyBorder="1" applyAlignment="1">
      <alignment vertical="center" wrapText="1"/>
    </xf>
    <xf numFmtId="164" fontId="13" fillId="5" borderId="54" xfId="0" applyNumberFormat="1" applyFont="1" applyFill="1" applyBorder="1" applyAlignment="1">
      <alignment horizontal="center" vertical="center"/>
    </xf>
    <xf numFmtId="164" fontId="0" fillId="5" borderId="54" xfId="0" applyNumberFormat="1" applyFill="1" applyBorder="1" applyAlignment="1">
      <alignment horizontal="center" vertical="center"/>
    </xf>
    <xf numFmtId="164" fontId="0" fillId="5" borderId="55" xfId="0" applyNumberFormat="1" applyFill="1" applyBorder="1" applyAlignment="1">
      <alignment horizontal="center" vertical="center"/>
    </xf>
    <xf numFmtId="9" fontId="20" fillId="6" borderId="37" xfId="3" applyFont="1" applyFill="1" applyBorder="1" applyAlignment="1">
      <alignment horizontal="center" vertical="center"/>
    </xf>
    <xf numFmtId="9" fontId="20" fillId="3" borderId="0" xfId="3" applyFont="1" applyFill="1" applyAlignment="1">
      <alignment horizontal="center" vertical="center"/>
    </xf>
    <xf numFmtId="9" fontId="11" fillId="19" borderId="21" xfId="3" applyFont="1" applyFill="1" applyBorder="1" applyAlignment="1">
      <alignment horizontal="right" vertical="center"/>
    </xf>
    <xf numFmtId="1" fontId="74" fillId="19" borderId="0" xfId="0" applyNumberFormat="1" applyFont="1" applyFill="1" applyBorder="1" applyAlignment="1">
      <alignment horizontal="left" vertical="center"/>
    </xf>
    <xf numFmtId="9" fontId="11" fillId="19" borderId="0" xfId="3" applyFont="1" applyFill="1" applyBorder="1" applyAlignment="1">
      <alignment horizontal="right" vertical="center"/>
    </xf>
    <xf numFmtId="166" fontId="73" fillId="0" borderId="0" xfId="0" applyFont="1" applyBorder="1" applyAlignment="1">
      <alignment vertical="center"/>
    </xf>
    <xf numFmtId="9" fontId="9" fillId="33" borderId="14" xfId="3" applyFont="1" applyFill="1" applyBorder="1" applyAlignment="1">
      <alignment horizontal="center" vertical="center"/>
    </xf>
    <xf numFmtId="9" fontId="9" fillId="33" borderId="12" xfId="3" applyFont="1" applyFill="1" applyBorder="1" applyAlignment="1">
      <alignment horizontal="center" vertical="center"/>
    </xf>
    <xf numFmtId="9" fontId="11" fillId="33" borderId="12" xfId="3" applyFont="1" applyFill="1" applyBorder="1" applyAlignment="1">
      <alignment horizontal="center" vertical="center"/>
    </xf>
    <xf numFmtId="9" fontId="82" fillId="21" borderId="13" xfId="3" applyFont="1" applyFill="1" applyBorder="1" applyAlignment="1">
      <alignment horizontal="center" vertical="center"/>
    </xf>
    <xf numFmtId="9" fontId="42" fillId="37" borderId="12" xfId="3" applyFont="1" applyFill="1" applyBorder="1" applyAlignment="1">
      <alignment horizontal="center" vertical="center"/>
    </xf>
    <xf numFmtId="9" fontId="83" fillId="26" borderId="12" xfId="3" applyFont="1" applyFill="1" applyBorder="1" applyAlignment="1">
      <alignment horizontal="center" vertical="center"/>
    </xf>
    <xf numFmtId="9" fontId="19" fillId="38" borderId="7" xfId="3" applyFont="1" applyFill="1" applyBorder="1" applyAlignment="1">
      <alignment horizontal="center" vertical="center"/>
    </xf>
    <xf numFmtId="1" fontId="9" fillId="38" borderId="7" xfId="0" applyNumberFormat="1" applyFont="1" applyFill="1" applyBorder="1" applyAlignment="1">
      <alignment horizontal="left"/>
    </xf>
    <xf numFmtId="166" fontId="9" fillId="19" borderId="21" xfId="0" applyFont="1" applyFill="1" applyBorder="1" applyAlignment="1">
      <alignment horizontal="right"/>
    </xf>
    <xf numFmtId="165" fontId="11" fillId="19" borderId="21" xfId="0" applyNumberFormat="1" applyFont="1" applyFill="1" applyBorder="1" applyAlignment="1">
      <alignment horizontal="center" vertical="center" wrapText="1"/>
    </xf>
    <xf numFmtId="165" fontId="11" fillId="19" borderId="22" xfId="0" applyNumberFormat="1" applyFont="1" applyFill="1" applyBorder="1" applyAlignment="1">
      <alignment horizontal="center" vertical="center"/>
    </xf>
    <xf numFmtId="166" fontId="63" fillId="19" borderId="0" xfId="0" applyFont="1" applyFill="1" applyBorder="1" applyAlignment="1">
      <alignment horizontal="right" wrapText="1"/>
    </xf>
    <xf numFmtId="166" fontId="11" fillId="19" borderId="0" xfId="0" applyFont="1" applyFill="1" applyBorder="1" applyAlignment="1">
      <alignment horizontal="center" vertical="center" wrapText="1"/>
    </xf>
    <xf numFmtId="166" fontId="11" fillId="19" borderId="24" xfId="0" applyFont="1" applyFill="1" applyBorder="1" applyAlignment="1">
      <alignment horizontal="center" vertical="center" wrapText="1"/>
    </xf>
    <xf numFmtId="1" fontId="74" fillId="19" borderId="21" xfId="0" applyNumberFormat="1" applyFont="1" applyFill="1" applyBorder="1" applyAlignment="1">
      <alignment horizontal="left"/>
    </xf>
    <xf numFmtId="1" fontId="74" fillId="19" borderId="0" xfId="0" applyNumberFormat="1" applyFont="1" applyFill="1" applyBorder="1" applyAlignment="1">
      <alignment horizontal="left"/>
    </xf>
    <xf numFmtId="2" fontId="21" fillId="9" borderId="69" xfId="0" applyNumberFormat="1" applyFont="1" applyFill="1" applyBorder="1" applyAlignment="1">
      <alignment horizontal="right" vertical="center" wrapText="1"/>
    </xf>
    <xf numFmtId="9" fontId="11" fillId="19" borderId="22" xfId="3" applyFont="1" applyFill="1" applyBorder="1" applyAlignment="1">
      <alignment horizontal="center" vertical="center"/>
    </xf>
    <xf numFmtId="9" fontId="11" fillId="19" borderId="24" xfId="3" applyFont="1" applyFill="1" applyBorder="1" applyAlignment="1">
      <alignment horizontal="center" vertical="center" wrapText="1"/>
    </xf>
    <xf numFmtId="9" fontId="64" fillId="6" borderId="0" xfId="3" applyFont="1" applyFill="1" applyAlignment="1">
      <alignment horizontal="center" vertical="center"/>
    </xf>
    <xf numFmtId="166" fontId="34" fillId="0" borderId="1" xfId="0" applyFont="1" applyFill="1" applyBorder="1" applyAlignment="1">
      <alignment horizontal="center" vertical="center" wrapText="1"/>
    </xf>
    <xf numFmtId="166" fontId="43" fillId="32" borderId="36" xfId="0" applyFont="1" applyFill="1" applyBorder="1" applyAlignment="1">
      <alignment vertical="center" wrapText="1"/>
    </xf>
    <xf numFmtId="166" fontId="43" fillId="32" borderId="20" xfId="0" applyFont="1" applyFill="1" applyBorder="1" applyAlignment="1">
      <alignment vertical="center" wrapText="1"/>
    </xf>
    <xf numFmtId="166" fontId="48" fillId="32" borderId="35" xfId="0" applyFont="1" applyFill="1" applyBorder="1" applyAlignment="1">
      <alignment vertical="center" wrapText="1"/>
    </xf>
    <xf numFmtId="166" fontId="43" fillId="28" borderId="25" xfId="0" applyFont="1" applyFill="1" applyBorder="1" applyAlignment="1">
      <alignment vertical="center" wrapText="1"/>
    </xf>
    <xf numFmtId="166" fontId="43" fillId="28" borderId="26" xfId="0" applyFont="1" applyFill="1" applyBorder="1" applyAlignment="1">
      <alignment vertical="center" wrapText="1"/>
    </xf>
    <xf numFmtId="166" fontId="48" fillId="28" borderId="20" xfId="0" applyFont="1" applyFill="1" applyBorder="1" applyAlignment="1">
      <alignment horizontal="left" vertical="center" wrapText="1"/>
    </xf>
    <xf numFmtId="166" fontId="43" fillId="29" borderId="36" xfId="0" applyFont="1" applyFill="1" applyBorder="1" applyAlignment="1">
      <alignment horizontal="left" vertical="center" wrapText="1"/>
    </xf>
    <xf numFmtId="166" fontId="43" fillId="29" borderId="26" xfId="0" applyFont="1" applyFill="1" applyBorder="1" applyAlignment="1">
      <alignment horizontal="left" vertical="center" wrapText="1"/>
    </xf>
    <xf numFmtId="166" fontId="43" fillId="29" borderId="20" xfId="0" applyFont="1" applyFill="1" applyBorder="1" applyAlignment="1">
      <alignment horizontal="left" vertical="center" wrapText="1"/>
    </xf>
    <xf numFmtId="166" fontId="48" fillId="29" borderId="35" xfId="0" applyFont="1" applyFill="1" applyBorder="1" applyAlignment="1">
      <alignment horizontal="left" vertical="center" wrapText="1"/>
    </xf>
    <xf numFmtId="166" fontId="43" fillId="33" borderId="36" xfId="0" applyFont="1" applyFill="1" applyBorder="1" applyAlignment="1">
      <alignment vertical="center" wrapText="1"/>
    </xf>
    <xf numFmtId="166" fontId="43" fillId="33" borderId="26" xfId="0" applyFont="1" applyFill="1" applyBorder="1" applyAlignment="1">
      <alignment vertical="center" wrapText="1"/>
    </xf>
    <xf numFmtId="166" fontId="48" fillId="33" borderId="35" xfId="0" applyFont="1" applyFill="1" applyBorder="1" applyAlignment="1">
      <alignment vertical="center" wrapText="1"/>
    </xf>
    <xf numFmtId="166" fontId="43" fillId="31" borderId="36" xfId="0" applyFont="1" applyFill="1" applyBorder="1" applyAlignment="1">
      <alignment horizontal="left" vertical="center"/>
    </xf>
    <xf numFmtId="166" fontId="43" fillId="31" borderId="26" xfId="0" applyFont="1" applyFill="1" applyBorder="1" applyAlignment="1">
      <alignment horizontal="left" vertical="center" wrapText="1"/>
    </xf>
    <xf numFmtId="166" fontId="48" fillId="29" borderId="35" xfId="0" applyFont="1" applyFill="1" applyBorder="1" applyAlignment="1">
      <alignment vertical="center" wrapText="1"/>
    </xf>
    <xf numFmtId="2" fontId="43" fillId="32" borderId="52" xfId="3" applyNumberFormat="1" applyFont="1" applyFill="1" applyBorder="1" applyAlignment="1">
      <alignment vertical="center" wrapText="1"/>
    </xf>
    <xf numFmtId="2" fontId="43" fillId="32" borderId="44" xfId="3" applyNumberFormat="1" applyFont="1" applyFill="1" applyBorder="1" applyAlignment="1">
      <alignment vertical="center" wrapText="1"/>
    </xf>
    <xf numFmtId="164" fontId="52" fillId="32" borderId="29" xfId="8" applyNumberFormat="1" applyFont="1" applyFill="1" applyBorder="1" applyAlignment="1">
      <alignment vertical="center"/>
    </xf>
    <xf numFmtId="2" fontId="43" fillId="32" borderId="55" xfId="3" applyNumberFormat="1" applyFont="1" applyFill="1" applyBorder="1" applyAlignment="1">
      <alignment vertical="center" wrapText="1"/>
    </xf>
    <xf numFmtId="164" fontId="52" fillId="28" borderId="62" xfId="8" applyNumberFormat="1" applyFont="1" applyFill="1" applyBorder="1" applyAlignment="1">
      <alignment horizontal="right" vertical="center"/>
    </xf>
    <xf numFmtId="2" fontId="34" fillId="28" borderId="46" xfId="3" applyNumberFormat="1" applyFont="1" applyFill="1" applyBorder="1" applyAlignment="1">
      <alignment vertical="center" wrapText="1"/>
    </xf>
    <xf numFmtId="167" fontId="52" fillId="28" borderId="62" xfId="4" applyNumberFormat="1" applyFont="1" applyFill="1" applyBorder="1" applyAlignment="1">
      <alignment vertical="center"/>
    </xf>
    <xf numFmtId="164" fontId="52" fillId="28" borderId="34" xfId="8" applyNumberFormat="1" applyFont="1" applyFill="1" applyBorder="1" applyAlignment="1">
      <alignment vertical="center"/>
    </xf>
    <xf numFmtId="2" fontId="52" fillId="28" borderId="38" xfId="3" applyNumberFormat="1" applyFont="1" applyFill="1" applyBorder="1" applyAlignment="1">
      <alignment vertical="center" wrapText="1"/>
    </xf>
    <xf numFmtId="164" fontId="33" fillId="28" borderId="34" xfId="8" applyNumberFormat="1" applyFont="1" applyFill="1" applyBorder="1" applyAlignment="1">
      <alignment vertical="center"/>
    </xf>
    <xf numFmtId="2" fontId="33" fillId="28" borderId="38" xfId="3" applyNumberFormat="1" applyFont="1" applyFill="1" applyBorder="1" applyAlignment="1">
      <alignment vertical="center"/>
    </xf>
    <xf numFmtId="2" fontId="71" fillId="28" borderId="38" xfId="3" applyNumberFormat="1" applyFont="1" applyFill="1" applyBorder="1" applyAlignment="1">
      <alignment vertical="center"/>
    </xf>
    <xf numFmtId="164" fontId="33" fillId="28" borderId="61" xfId="8" applyNumberFormat="1" applyFont="1" applyFill="1" applyBorder="1" applyAlignment="1">
      <alignment vertical="center"/>
    </xf>
    <xf numFmtId="2" fontId="33" fillId="28" borderId="44" xfId="3" applyNumberFormat="1" applyFont="1" applyFill="1" applyBorder="1" applyAlignment="1">
      <alignment vertical="center"/>
    </xf>
    <xf numFmtId="164" fontId="43" fillId="29" borderId="33" xfId="0" applyNumberFormat="1" applyFont="1" applyFill="1" applyBorder="1" applyAlignment="1">
      <alignment vertical="center" wrapText="1"/>
    </xf>
    <xf numFmtId="2" fontId="43" fillId="29" borderId="52" xfId="3" applyNumberFormat="1" applyFont="1" applyFill="1" applyBorder="1" applyAlignment="1">
      <alignment vertical="center" wrapText="1"/>
    </xf>
    <xf numFmtId="2" fontId="43" fillId="29" borderId="38" xfId="3" applyNumberFormat="1" applyFont="1" applyFill="1" applyBorder="1" applyAlignment="1">
      <alignment vertical="center" wrapText="1"/>
    </xf>
    <xf numFmtId="164" fontId="43" fillId="29" borderId="53" xfId="0" applyNumberFormat="1" applyFont="1" applyFill="1" applyBorder="1" applyAlignment="1">
      <alignment vertical="center" wrapText="1"/>
    </xf>
    <xf numFmtId="164" fontId="72" fillId="29" borderId="46" xfId="0" applyNumberFormat="1" applyFont="1" applyFill="1" applyBorder="1" applyAlignment="1">
      <alignment vertical="center" wrapText="1"/>
    </xf>
    <xf numFmtId="164" fontId="34" fillId="29" borderId="29" xfId="0" applyNumberFormat="1" applyFont="1" applyFill="1" applyBorder="1" applyAlignment="1">
      <alignment vertical="center" wrapText="1"/>
    </xf>
    <xf numFmtId="164" fontId="34" fillId="29" borderId="46" xfId="0" applyNumberFormat="1" applyFont="1" applyFill="1" applyBorder="1" applyAlignment="1">
      <alignment vertical="center" wrapText="1"/>
    </xf>
    <xf numFmtId="164" fontId="33" fillId="33" borderId="33" xfId="0" applyNumberFormat="1" applyFont="1" applyFill="1" applyBorder="1" applyAlignment="1">
      <alignment vertical="center"/>
    </xf>
    <xf numFmtId="2" fontId="33" fillId="33" borderId="52" xfId="3" applyNumberFormat="1" applyFont="1" applyFill="1" applyBorder="1" applyAlignment="1">
      <alignment vertical="center"/>
    </xf>
    <xf numFmtId="2" fontId="33" fillId="33" borderId="38" xfId="3" applyNumberFormat="1" applyFont="1" applyFill="1" applyBorder="1" applyAlignment="1">
      <alignment vertical="center"/>
    </xf>
    <xf numFmtId="164" fontId="33" fillId="33" borderId="34" xfId="0" applyNumberFormat="1" applyFont="1" applyFill="1" applyBorder="1" applyAlignment="1">
      <alignment vertical="center"/>
    </xf>
    <xf numFmtId="2" fontId="71" fillId="33" borderId="38" xfId="3" applyNumberFormat="1" applyFont="1" applyFill="1" applyBorder="1" applyAlignment="1">
      <alignment vertical="center"/>
    </xf>
    <xf numFmtId="164" fontId="33" fillId="33" borderId="29" xfId="0" applyNumberFormat="1" applyFont="1" applyFill="1" applyBorder="1" applyAlignment="1">
      <alignment vertical="center"/>
    </xf>
    <xf numFmtId="2" fontId="33" fillId="33" borderId="55" xfId="3" applyNumberFormat="1" applyFont="1" applyFill="1" applyBorder="1" applyAlignment="1">
      <alignment vertical="center"/>
    </xf>
    <xf numFmtId="164" fontId="33" fillId="31" borderId="33" xfId="8" applyNumberFormat="1" applyFont="1" applyFill="1" applyBorder="1" applyAlignment="1">
      <alignment vertical="center"/>
    </xf>
    <xf numFmtId="2" fontId="33" fillId="31" borderId="52" xfId="3" applyNumberFormat="1" applyFont="1" applyFill="1" applyBorder="1" applyAlignment="1">
      <alignment vertical="center"/>
    </xf>
    <xf numFmtId="164" fontId="33" fillId="31" borderId="34" xfId="0" applyNumberFormat="1" applyFont="1" applyFill="1" applyBorder="1" applyAlignment="1">
      <alignment vertical="center"/>
    </xf>
    <xf numFmtId="2" fontId="33" fillId="31" borderId="38" xfId="3" applyNumberFormat="1" applyFont="1" applyFill="1" applyBorder="1" applyAlignment="1">
      <alignment vertical="center"/>
    </xf>
    <xf numFmtId="2" fontId="33" fillId="31" borderId="34" xfId="0" applyNumberFormat="1" applyFont="1" applyFill="1" applyBorder="1" applyAlignment="1">
      <alignment vertical="center"/>
    </xf>
    <xf numFmtId="2" fontId="71" fillId="31" borderId="38" xfId="3" applyNumberFormat="1" applyFont="1" applyFill="1" applyBorder="1" applyAlignment="1">
      <alignment vertical="center"/>
    </xf>
    <xf numFmtId="164" fontId="32" fillId="31" borderId="29" xfId="0" applyNumberFormat="1" applyFont="1" applyFill="1" applyBorder="1" applyAlignment="1">
      <alignment vertical="center"/>
    </xf>
    <xf numFmtId="2" fontId="32" fillId="31" borderId="55" xfId="3" applyNumberFormat="1" applyFont="1" applyFill="1" applyBorder="1" applyAlignment="1">
      <alignment vertical="center"/>
    </xf>
    <xf numFmtId="2" fontId="33" fillId="29" borderId="52" xfId="3" applyNumberFormat="1" applyFont="1" applyFill="1" applyBorder="1" applyAlignment="1">
      <alignment vertical="center"/>
    </xf>
    <xf numFmtId="2" fontId="33" fillId="29" borderId="38" xfId="3" applyNumberFormat="1" applyFont="1" applyFill="1" applyBorder="1" applyAlignment="1">
      <alignment vertical="center"/>
    </xf>
    <xf numFmtId="164" fontId="33" fillId="29" borderId="61" xfId="0" applyNumberFormat="1" applyFont="1" applyFill="1" applyBorder="1" applyAlignment="1">
      <alignment vertical="center"/>
    </xf>
    <xf numFmtId="2" fontId="71" fillId="29" borderId="44" xfId="3" applyNumberFormat="1" applyFont="1" applyFill="1" applyBorder="1" applyAlignment="1">
      <alignment vertical="center"/>
    </xf>
    <xf numFmtId="166" fontId="32" fillId="0" borderId="11" xfId="0" applyFont="1" applyFill="1" applyBorder="1" applyAlignment="1">
      <alignment textRotation="90" wrapText="1"/>
    </xf>
    <xf numFmtId="1" fontId="32" fillId="0" borderId="11" xfId="0" applyNumberFormat="1" applyFont="1" applyFill="1" applyBorder="1" applyAlignment="1">
      <alignment horizontal="center" textRotation="90" wrapText="1"/>
    </xf>
    <xf numFmtId="164" fontId="34" fillId="0" borderId="11" xfId="0" applyNumberFormat="1" applyFont="1" applyFill="1" applyBorder="1" applyAlignment="1">
      <alignment vertical="center" textRotation="90"/>
    </xf>
    <xf numFmtId="164" fontId="34" fillId="0" borderId="11" xfId="0" applyNumberFormat="1" applyFont="1" applyFill="1" applyBorder="1" applyAlignment="1">
      <alignment vertical="center" textRotation="90" wrapText="1"/>
    </xf>
    <xf numFmtId="164" fontId="37" fillId="0" borderId="11" xfId="0" applyNumberFormat="1" applyFont="1" applyFill="1" applyBorder="1" applyAlignment="1">
      <alignment vertical="center" textRotation="90" wrapText="1"/>
    </xf>
    <xf numFmtId="2" fontId="34" fillId="0" borderId="11" xfId="0" applyNumberFormat="1" applyFont="1" applyFill="1" applyBorder="1" applyAlignment="1">
      <alignment vertical="center" textRotation="90" wrapText="1"/>
    </xf>
    <xf numFmtId="2" fontId="37" fillId="0" borderId="11" xfId="3" applyNumberFormat="1" applyFont="1" applyFill="1" applyBorder="1" applyAlignment="1">
      <alignment vertical="center" textRotation="90" wrapText="1"/>
    </xf>
    <xf numFmtId="164" fontId="33" fillId="29" borderId="16" xfId="8" applyNumberFormat="1" applyFont="1" applyFill="1" applyBorder="1" applyAlignment="1">
      <alignment vertical="center"/>
    </xf>
    <xf numFmtId="166" fontId="53" fillId="31" borderId="20" xfId="0" applyFont="1" applyFill="1" applyBorder="1" applyAlignment="1">
      <alignment horizontal="left" vertical="center" wrapText="1"/>
    </xf>
    <xf numFmtId="1" fontId="33" fillId="29" borderId="36" xfId="0" applyNumberFormat="1" applyFont="1" applyFill="1" applyBorder="1" applyAlignment="1">
      <alignment horizontal="center" vertical="center"/>
    </xf>
    <xf numFmtId="1" fontId="33" fillId="29" borderId="26" xfId="0" applyNumberFormat="1" applyFont="1" applyFill="1" applyBorder="1" applyAlignment="1">
      <alignment horizontal="center" vertical="center"/>
    </xf>
    <xf numFmtId="166" fontId="48" fillId="29" borderId="23" xfId="0" applyFont="1" applyFill="1" applyBorder="1" applyAlignment="1">
      <alignment vertical="center" wrapText="1"/>
    </xf>
    <xf numFmtId="166" fontId="43" fillId="29" borderId="71" xfId="0" applyFont="1" applyFill="1" applyBorder="1" applyAlignment="1">
      <alignment horizontal="left" vertical="center" wrapText="1"/>
    </xf>
    <xf numFmtId="166" fontId="43" fillId="29" borderId="28" xfId="0" applyFont="1" applyFill="1" applyBorder="1" applyAlignment="1">
      <alignment horizontal="left" vertical="center" wrapText="1"/>
    </xf>
    <xf numFmtId="166" fontId="43" fillId="29" borderId="72" xfId="0" applyFont="1" applyFill="1" applyBorder="1" applyAlignment="1">
      <alignment horizontal="left" vertical="center" wrapText="1"/>
    </xf>
    <xf numFmtId="164" fontId="33" fillId="30" borderId="52" xfId="8" applyNumberFormat="1" applyFont="1" applyFill="1" applyBorder="1" applyAlignment="1">
      <alignment vertical="center"/>
    </xf>
    <xf numFmtId="164" fontId="33" fillId="30" borderId="38" xfId="8" applyNumberFormat="1" applyFont="1" applyFill="1" applyBorder="1" applyAlignment="1">
      <alignment vertical="center"/>
    </xf>
    <xf numFmtId="164" fontId="53" fillId="30" borderId="38" xfId="8" applyNumberFormat="1" applyFont="1" applyFill="1" applyBorder="1" applyAlignment="1">
      <alignment vertical="center"/>
    </xf>
    <xf numFmtId="164" fontId="54" fillId="30" borderId="55" xfId="8" applyNumberFormat="1" applyFont="1" applyFill="1" applyBorder="1" applyAlignment="1">
      <alignment vertical="center"/>
    </xf>
    <xf numFmtId="164" fontId="34" fillId="29" borderId="13" xfId="0" applyNumberFormat="1" applyFont="1" applyFill="1" applyBorder="1" applyAlignment="1">
      <alignment vertical="center" wrapText="1"/>
    </xf>
    <xf numFmtId="9" fontId="34" fillId="29" borderId="13" xfId="3" applyFont="1" applyFill="1" applyBorder="1" applyAlignment="1">
      <alignment vertical="center" wrapText="1"/>
    </xf>
    <xf numFmtId="2" fontId="34" fillId="29" borderId="44" xfId="3" applyNumberFormat="1" applyFont="1" applyFill="1" applyBorder="1" applyAlignment="1">
      <alignment vertical="center" wrapText="1"/>
    </xf>
    <xf numFmtId="9" fontId="34" fillId="19" borderId="12" xfId="3" applyFont="1" applyFill="1" applyBorder="1" applyAlignment="1">
      <alignment vertical="center" wrapText="1"/>
    </xf>
    <xf numFmtId="166" fontId="43" fillId="0" borderId="0" xfId="0" applyFont="1" applyFill="1" applyBorder="1" applyAlignment="1">
      <alignment horizontal="center" vertical="center" wrapText="1"/>
    </xf>
    <xf numFmtId="164" fontId="52" fillId="32" borderId="33" xfId="8" applyNumberFormat="1" applyFont="1" applyFill="1" applyBorder="1" applyAlignment="1">
      <alignment horizontal="right" vertical="center"/>
    </xf>
    <xf numFmtId="164" fontId="52" fillId="32" borderId="61" xfId="8" applyNumberFormat="1" applyFont="1" applyFill="1" applyBorder="1" applyAlignment="1">
      <alignment horizontal="right" vertical="center"/>
    </xf>
    <xf numFmtId="1" fontId="33" fillId="33" borderId="51" xfId="0" applyNumberFormat="1" applyFont="1" applyFill="1" applyBorder="1" applyAlignment="1">
      <alignment vertical="center"/>
    </xf>
    <xf numFmtId="166" fontId="0" fillId="13" borderId="0" xfId="0" applyFill="1"/>
    <xf numFmtId="164" fontId="9" fillId="33" borderId="14" xfId="0" applyNumberFormat="1" applyFont="1" applyFill="1" applyBorder="1" applyAlignment="1">
      <alignment horizontal="right" vertical="center" wrapText="1"/>
    </xf>
    <xf numFmtId="1" fontId="13" fillId="33" borderId="14" xfId="0" applyNumberFormat="1" applyFont="1" applyFill="1" applyBorder="1" applyAlignment="1">
      <alignment horizontal="right" vertical="center"/>
    </xf>
    <xf numFmtId="1" fontId="9" fillId="33" borderId="14" xfId="0" applyNumberFormat="1" applyFont="1" applyFill="1" applyBorder="1" applyAlignment="1">
      <alignment horizontal="right" vertical="center"/>
    </xf>
    <xf numFmtId="164" fontId="13" fillId="33" borderId="12" xfId="0" applyNumberFormat="1" applyFont="1" applyFill="1" applyBorder="1" applyAlignment="1">
      <alignment horizontal="right" vertical="center"/>
    </xf>
    <xf numFmtId="9" fontId="13" fillId="33" borderId="12" xfId="3" applyFont="1" applyFill="1" applyBorder="1" applyAlignment="1">
      <alignment horizontal="right" vertical="center"/>
    </xf>
    <xf numFmtId="164" fontId="75" fillId="33" borderId="12" xfId="0" applyNumberFormat="1" applyFont="1" applyFill="1" applyBorder="1" applyAlignment="1">
      <alignment horizontal="right" vertical="center" wrapText="1"/>
    </xf>
    <xf numFmtId="164" fontId="9" fillId="7" borderId="12" xfId="0" applyNumberFormat="1" applyFont="1" applyFill="1" applyBorder="1" applyAlignment="1">
      <alignment horizontal="right" vertical="center" wrapText="1"/>
    </xf>
    <xf numFmtId="164" fontId="0" fillId="7" borderId="12" xfId="0" applyNumberFormat="1" applyFill="1" applyBorder="1" applyAlignment="1">
      <alignment horizontal="right" vertical="center" wrapText="1"/>
    </xf>
    <xf numFmtId="1" fontId="0" fillId="7" borderId="12" xfId="0" applyNumberFormat="1" applyFill="1" applyBorder="1" applyAlignment="1">
      <alignment horizontal="right" vertical="center" wrapText="1"/>
    </xf>
    <xf numFmtId="164" fontId="11" fillId="7" borderId="12" xfId="0" applyNumberFormat="1" applyFont="1" applyFill="1" applyBorder="1" applyAlignment="1">
      <alignment horizontal="right" vertical="center" wrapText="1"/>
    </xf>
    <xf numFmtId="164" fontId="13" fillId="7" borderId="12" xfId="0" applyNumberFormat="1" applyFont="1" applyFill="1" applyBorder="1" applyAlignment="1">
      <alignment horizontal="right" vertical="center"/>
    </xf>
    <xf numFmtId="9" fontId="11" fillId="7" borderId="12" xfId="3" applyFont="1" applyFill="1" applyBorder="1" applyAlignment="1">
      <alignment horizontal="right" vertical="center"/>
    </xf>
    <xf numFmtId="164" fontId="11" fillId="7" borderId="12" xfId="0" applyNumberFormat="1" applyFont="1" applyFill="1" applyBorder="1" applyAlignment="1">
      <alignment horizontal="right" vertical="center"/>
    </xf>
    <xf numFmtId="164" fontId="0" fillId="4" borderId="12" xfId="0" applyNumberFormat="1" applyFill="1" applyBorder="1" applyAlignment="1">
      <alignment horizontal="right" vertical="center" wrapText="1"/>
    </xf>
    <xf numFmtId="164" fontId="11" fillId="4" borderId="12" xfId="0" applyNumberFormat="1" applyFont="1" applyFill="1" applyBorder="1" applyAlignment="1">
      <alignment horizontal="right" vertical="center"/>
    </xf>
    <xf numFmtId="9" fontId="11" fillId="4" borderId="12" xfId="3" applyFont="1" applyFill="1" applyBorder="1" applyAlignment="1">
      <alignment horizontal="right" vertical="center" wrapText="1"/>
    </xf>
    <xf numFmtId="164" fontId="11" fillId="4" borderId="12" xfId="0" applyNumberFormat="1" applyFont="1" applyFill="1" applyBorder="1" applyAlignment="1">
      <alignment horizontal="right" vertical="center" wrapText="1"/>
    </xf>
    <xf numFmtId="164" fontId="11" fillId="36" borderId="7" xfId="0" applyNumberFormat="1" applyFont="1" applyFill="1" applyBorder="1" applyAlignment="1">
      <alignment horizontal="right" vertical="center" wrapText="1"/>
    </xf>
    <xf numFmtId="164" fontId="11" fillId="36" borderId="7" xfId="0" applyNumberFormat="1" applyFont="1" applyFill="1" applyBorder="1" applyAlignment="1">
      <alignment horizontal="right" vertical="center"/>
    </xf>
    <xf numFmtId="9" fontId="11" fillId="36" borderId="7" xfId="3" applyFont="1" applyFill="1" applyBorder="1" applyAlignment="1">
      <alignment horizontal="right" vertical="center" wrapText="1"/>
    </xf>
    <xf numFmtId="164" fontId="11" fillId="19" borderId="0" xfId="0" applyNumberFormat="1" applyFont="1" applyFill="1" applyBorder="1" applyAlignment="1">
      <alignment horizontal="right" vertical="center"/>
    </xf>
    <xf numFmtId="164" fontId="9" fillId="33" borderId="12" xfId="0" applyNumberFormat="1" applyFont="1" applyFill="1" applyBorder="1" applyAlignment="1">
      <alignment vertical="center" wrapText="1"/>
    </xf>
    <xf numFmtId="164" fontId="13" fillId="33" borderId="12" xfId="0" applyNumberFormat="1" applyFont="1" applyFill="1" applyBorder="1" applyAlignment="1">
      <alignment vertical="center"/>
    </xf>
    <xf numFmtId="9" fontId="13" fillId="33" borderId="12" xfId="3" applyFont="1" applyFill="1" applyBorder="1" applyAlignment="1">
      <alignment vertical="center"/>
    </xf>
    <xf numFmtId="2" fontId="0" fillId="7" borderId="12" xfId="0" applyNumberFormat="1" applyFill="1" applyBorder="1" applyAlignment="1">
      <alignment horizontal="right" vertical="center" wrapText="1"/>
    </xf>
    <xf numFmtId="164" fontId="9" fillId="21" borderId="12" xfId="0" applyNumberFormat="1" applyFont="1" applyFill="1" applyBorder="1" applyAlignment="1">
      <alignment horizontal="center" vertical="center"/>
    </xf>
    <xf numFmtId="164" fontId="9" fillId="21" borderId="12" xfId="3" applyNumberFormat="1" applyFont="1" applyFill="1" applyBorder="1" applyAlignment="1">
      <alignment horizontal="center" vertical="center"/>
    </xf>
    <xf numFmtId="164" fontId="9" fillId="8" borderId="12" xfId="0" applyNumberFormat="1" applyFont="1" applyFill="1" applyBorder="1" applyAlignment="1">
      <alignment horizontal="center" vertical="center"/>
    </xf>
    <xf numFmtId="164" fontId="9" fillId="21" borderId="12" xfId="4" applyNumberFormat="1" applyFont="1" applyFill="1" applyBorder="1" applyAlignment="1">
      <alignment horizontal="center" vertical="center"/>
    </xf>
    <xf numFmtId="2" fontId="64" fillId="3" borderId="0" xfId="0" applyNumberFormat="1" applyFont="1" applyFill="1" applyAlignment="1">
      <alignment horizontal="center" vertical="center"/>
    </xf>
    <xf numFmtId="164" fontId="9" fillId="0" borderId="0" xfId="0" quotePrefix="1" applyNumberFormat="1" applyFont="1" applyAlignment="1">
      <alignment horizontal="center" vertical="center"/>
    </xf>
    <xf numFmtId="165" fontId="83" fillId="26" borderId="12" xfId="0" applyNumberFormat="1" applyFont="1" applyFill="1" applyBorder="1" applyAlignment="1">
      <alignment horizontal="center" vertical="center"/>
    </xf>
    <xf numFmtId="164" fontId="9" fillId="31" borderId="12" xfId="0" applyNumberFormat="1" applyFont="1" applyFill="1" applyBorder="1" applyAlignment="1">
      <alignment horizontal="right" vertical="center" wrapText="1"/>
    </xf>
    <xf numFmtId="164" fontId="0" fillId="31" borderId="12" xfId="0" applyNumberFormat="1" applyFill="1" applyBorder="1" applyAlignment="1">
      <alignment horizontal="right" vertical="center" wrapText="1"/>
    </xf>
    <xf numFmtId="9" fontId="14" fillId="16" borderId="0" xfId="3" applyFont="1" applyFill="1" applyAlignment="1">
      <alignment horizontal="center"/>
    </xf>
    <xf numFmtId="166" fontId="9" fillId="0" borderId="0" xfId="0" quotePrefix="1" applyFont="1"/>
    <xf numFmtId="1" fontId="0" fillId="31" borderId="12" xfId="0" applyNumberFormat="1" applyFill="1" applyBorder="1" applyAlignment="1">
      <alignment horizontal="right" vertical="center" wrapText="1"/>
    </xf>
    <xf numFmtId="2" fontId="0" fillId="31" borderId="12" xfId="0" applyNumberFormat="1" applyFill="1" applyBorder="1" applyAlignment="1">
      <alignment horizontal="right" vertical="center" wrapText="1"/>
    </xf>
    <xf numFmtId="166" fontId="39" fillId="0" borderId="0" xfId="0" applyFont="1"/>
    <xf numFmtId="166" fontId="0" fillId="0" borderId="0" xfId="0" applyFill="1"/>
    <xf numFmtId="1" fontId="46" fillId="17" borderId="16" xfId="0" applyNumberFormat="1" applyFont="1" applyFill="1" applyBorder="1" applyAlignment="1">
      <alignment horizontal="center" vertical="center" wrapText="1"/>
    </xf>
    <xf numFmtId="1" fontId="0" fillId="0" borderId="0" xfId="0" applyNumberFormat="1" applyAlignment="1">
      <alignment horizontal="center" vertical="center"/>
    </xf>
    <xf numFmtId="166" fontId="9" fillId="33" borderId="14" xfId="0" applyFont="1" applyFill="1" applyBorder="1" applyAlignment="1">
      <alignment horizontal="left" vertical="center" wrapText="1"/>
    </xf>
    <xf numFmtId="166" fontId="0" fillId="0" borderId="0" xfId="0" applyAlignment="1">
      <alignment horizontal="center"/>
    </xf>
    <xf numFmtId="1" fontId="0" fillId="33" borderId="14" xfId="0" applyNumberFormat="1" applyFill="1" applyBorder="1" applyAlignment="1">
      <alignment horizontal="center" vertical="center"/>
    </xf>
    <xf numFmtId="166" fontId="21" fillId="9" borderId="2" xfId="0" applyFont="1" applyFill="1" applyBorder="1" applyAlignment="1">
      <alignment horizontal="left" vertical="center" wrapText="1"/>
    </xf>
    <xf numFmtId="164" fontId="9" fillId="33" borderId="14" xfId="0" applyNumberFormat="1" applyFont="1" applyFill="1" applyBorder="1" applyAlignment="1">
      <alignment horizontal="right" vertical="center" wrapText="1"/>
    </xf>
    <xf numFmtId="1" fontId="9" fillId="33" borderId="14" xfId="0" applyNumberFormat="1" applyFont="1" applyFill="1" applyBorder="1" applyAlignment="1">
      <alignment horizontal="right" vertical="center"/>
    </xf>
    <xf numFmtId="166" fontId="0" fillId="9" borderId="0" xfId="0" applyFill="1" applyBorder="1"/>
    <xf numFmtId="166" fontId="39" fillId="0" borderId="0" xfId="0" applyFont="1" applyFill="1" applyBorder="1"/>
    <xf numFmtId="166" fontId="13" fillId="19" borderId="0" xfId="0" applyFont="1" applyFill="1"/>
    <xf numFmtId="164" fontId="9" fillId="41" borderId="12" xfId="0" applyNumberFormat="1" applyFont="1" applyFill="1" applyBorder="1" applyAlignment="1">
      <alignment horizontal="right" vertical="center" wrapText="1"/>
    </xf>
    <xf numFmtId="1" fontId="9" fillId="41" borderId="12" xfId="0" applyNumberFormat="1" applyFont="1" applyFill="1" applyBorder="1" applyAlignment="1">
      <alignment horizontal="center" vertical="center"/>
    </xf>
    <xf numFmtId="166" fontId="9" fillId="41" borderId="12" xfId="0" applyFont="1" applyFill="1" applyBorder="1" applyAlignment="1">
      <alignment horizontal="left" vertical="center" wrapText="1"/>
    </xf>
    <xf numFmtId="1" fontId="9" fillId="41" borderId="12" xfId="0" applyNumberFormat="1" applyFont="1" applyFill="1" applyBorder="1" applyAlignment="1">
      <alignment horizontal="center" vertical="center" wrapText="1"/>
    </xf>
    <xf numFmtId="164" fontId="9" fillId="41" borderId="12" xfId="0" applyNumberFormat="1" applyFont="1" applyFill="1" applyBorder="1" applyAlignment="1">
      <alignment horizontal="left" vertical="center" wrapText="1"/>
    </xf>
    <xf numFmtId="1" fontId="11" fillId="41" borderId="12" xfId="0" applyNumberFormat="1" applyFont="1" applyFill="1" applyBorder="1" applyAlignment="1">
      <alignment horizontal="left" vertical="center"/>
    </xf>
    <xf numFmtId="166" fontId="11" fillId="41" borderId="12" xfId="0" applyFont="1" applyFill="1" applyBorder="1" applyAlignment="1">
      <alignment horizontal="left" vertical="center"/>
    </xf>
    <xf numFmtId="164" fontId="11" fillId="41" borderId="12" xfId="0" applyNumberFormat="1" applyFont="1" applyFill="1" applyBorder="1" applyAlignment="1">
      <alignment horizontal="right" vertical="center"/>
    </xf>
    <xf numFmtId="9" fontId="11" fillId="41" borderId="12" xfId="3" applyFont="1" applyFill="1" applyBorder="1" applyAlignment="1">
      <alignment horizontal="right" vertical="center" wrapText="1"/>
    </xf>
    <xf numFmtId="164" fontId="33" fillId="0" borderId="12" xfId="0" applyNumberFormat="1" applyFont="1" applyFill="1" applyBorder="1" applyAlignment="1">
      <alignment horizontal="center" vertical="center"/>
    </xf>
    <xf numFmtId="164" fontId="0" fillId="0" borderId="12" xfId="0" applyNumberFormat="1" applyFill="1" applyBorder="1" applyAlignment="1">
      <alignment horizontal="center" vertical="center"/>
    </xf>
    <xf numFmtId="164" fontId="0" fillId="0" borderId="26" xfId="0" applyNumberFormat="1" applyFill="1" applyBorder="1" applyAlignment="1">
      <alignment horizontal="center" vertical="center"/>
    </xf>
    <xf numFmtId="164" fontId="40" fillId="17" borderId="33" xfId="0" applyNumberFormat="1" applyFont="1" applyFill="1" applyBorder="1" applyAlignment="1">
      <alignment horizontal="center" vertical="center"/>
    </xf>
    <xf numFmtId="164" fontId="40" fillId="17" borderId="36" xfId="0" applyNumberFormat="1" applyFont="1" applyFill="1" applyBorder="1" applyAlignment="1">
      <alignment horizontal="center" vertical="center"/>
    </xf>
    <xf numFmtId="164" fontId="40" fillId="17" borderId="34" xfId="0" applyNumberFormat="1" applyFont="1" applyFill="1" applyBorder="1" applyAlignment="1">
      <alignment horizontal="center" vertical="center"/>
    </xf>
    <xf numFmtId="164" fontId="40" fillId="17" borderId="26" xfId="0" applyNumberFormat="1" applyFont="1" applyFill="1" applyBorder="1" applyAlignment="1">
      <alignment horizontal="center" vertical="center"/>
    </xf>
    <xf numFmtId="164" fontId="40" fillId="17" borderId="17" xfId="0" applyNumberFormat="1" applyFont="1" applyFill="1" applyBorder="1" applyAlignment="1">
      <alignment horizontal="center" vertical="center" wrapText="1"/>
    </xf>
    <xf numFmtId="164" fontId="40" fillId="17" borderId="16" xfId="0" applyNumberFormat="1" applyFont="1" applyFill="1" applyBorder="1" applyAlignment="1">
      <alignment horizontal="center" vertical="center" wrapText="1"/>
    </xf>
    <xf numFmtId="164" fontId="40" fillId="17" borderId="38" xfId="0" applyNumberFormat="1" applyFont="1" applyFill="1" applyBorder="1" applyAlignment="1">
      <alignment horizontal="center" vertical="center" wrapText="1"/>
    </xf>
    <xf numFmtId="164" fontId="40" fillId="17" borderId="22" xfId="0" applyNumberFormat="1" applyFont="1" applyFill="1" applyBorder="1" applyAlignment="1">
      <alignment horizontal="center" vertical="center" wrapText="1"/>
    </xf>
    <xf numFmtId="164" fontId="40" fillId="17" borderId="44" xfId="0" applyNumberFormat="1" applyFont="1" applyFill="1" applyBorder="1" applyAlignment="1">
      <alignment horizontal="center" vertical="center" wrapText="1"/>
    </xf>
    <xf numFmtId="2" fontId="65" fillId="17" borderId="12" xfId="0" applyNumberFormat="1" applyFont="1" applyFill="1" applyBorder="1" applyAlignment="1">
      <alignment wrapText="1"/>
    </xf>
    <xf numFmtId="2" fontId="9" fillId="17" borderId="12" xfId="0" applyNumberFormat="1" applyFont="1" applyFill="1" applyBorder="1" applyAlignment="1">
      <alignment wrapText="1"/>
    </xf>
    <xf numFmtId="2" fontId="9" fillId="17" borderId="12" xfId="0" applyNumberFormat="1" applyFont="1" applyFill="1" applyBorder="1"/>
    <xf numFmtId="166" fontId="9" fillId="0" borderId="0" xfId="0" applyFont="1" applyAlignment="1">
      <alignment horizontal="left" wrapText="1"/>
    </xf>
    <xf numFmtId="166" fontId="9" fillId="0" borderId="0" xfId="0" applyFont="1" applyAlignment="1">
      <alignment vertical="top" wrapText="1"/>
    </xf>
    <xf numFmtId="166" fontId="0" fillId="0" borderId="0" xfId="0" applyAlignment="1">
      <alignment horizontal="left" wrapText="1"/>
    </xf>
    <xf numFmtId="166" fontId="62" fillId="0" borderId="50" xfId="0" applyFont="1" applyBorder="1" applyAlignment="1">
      <alignment horizontal="center" vertical="center" wrapText="1"/>
    </xf>
    <xf numFmtId="166" fontId="62" fillId="0" borderId="57" xfId="0" applyFont="1" applyBorder="1" applyAlignment="1">
      <alignment horizontal="center" vertical="center"/>
    </xf>
    <xf numFmtId="166" fontId="57" fillId="0" borderId="29" xfId="0" applyFont="1" applyBorder="1" applyAlignment="1">
      <alignment horizontal="center" vertical="center"/>
    </xf>
    <xf numFmtId="166" fontId="57" fillId="0" borderId="54" xfId="0" applyFont="1" applyBorder="1" applyAlignment="1">
      <alignment horizontal="center" vertical="center"/>
    </xf>
    <xf numFmtId="166" fontId="57" fillId="0" borderId="55" xfId="0" applyFont="1" applyBorder="1" applyAlignment="1">
      <alignment horizontal="center" vertical="center"/>
    </xf>
    <xf numFmtId="14" fontId="32" fillId="0" borderId="0" xfId="0" applyNumberFormat="1" applyFont="1" applyFill="1" applyBorder="1" applyAlignment="1">
      <alignment horizontal="center"/>
    </xf>
    <xf numFmtId="166" fontId="32" fillId="0" borderId="0" xfId="0" applyFont="1" applyFill="1" applyBorder="1" applyAlignment="1">
      <alignment horizontal="center"/>
    </xf>
    <xf numFmtId="49" fontId="39" fillId="13" borderId="0" xfId="0" applyNumberFormat="1" applyFont="1" applyFill="1" applyAlignment="1">
      <alignment horizontal="center" vertical="center" wrapText="1"/>
    </xf>
    <xf numFmtId="166" fontId="22" fillId="0" borderId="0" xfId="0" applyFont="1" applyAlignment="1">
      <alignment horizontal="left" vertical="center" wrapText="1"/>
    </xf>
    <xf numFmtId="166" fontId="33" fillId="0" borderId="4" xfId="0" applyFont="1" applyFill="1" applyBorder="1" applyAlignment="1">
      <alignment horizontal="center"/>
    </xf>
    <xf numFmtId="166" fontId="38" fillId="0" borderId="0" xfId="0" applyFont="1" applyFill="1" applyBorder="1" applyAlignment="1">
      <alignment horizontal="center" vertical="center" wrapText="1"/>
    </xf>
    <xf numFmtId="166" fontId="32" fillId="0" borderId="0" xfId="0" applyFont="1" applyFill="1" applyBorder="1" applyAlignment="1">
      <alignment horizontal="left"/>
    </xf>
    <xf numFmtId="166" fontId="32" fillId="0" borderId="0" xfId="0" applyFont="1" applyFill="1" applyBorder="1" applyAlignment="1">
      <alignment horizontal="center" vertical="center"/>
    </xf>
    <xf numFmtId="166" fontId="33" fillId="17" borderId="0" xfId="0" applyFont="1" applyFill="1" applyAlignment="1">
      <alignment horizontal="center" vertical="center" wrapText="1"/>
    </xf>
    <xf numFmtId="166" fontId="33" fillId="5" borderId="0" xfId="0" applyFont="1" applyFill="1" applyAlignment="1">
      <alignment horizontal="center" vertical="center" wrapText="1"/>
    </xf>
    <xf numFmtId="1" fontId="33" fillId="18" borderId="0" xfId="3" applyNumberFormat="1" applyFont="1" applyFill="1" applyAlignment="1">
      <alignment horizontal="center" vertical="center" wrapText="1"/>
    </xf>
    <xf numFmtId="166" fontId="32" fillId="0" borderId="4" xfId="0" applyFont="1" applyFill="1" applyBorder="1" applyAlignment="1">
      <alignment horizontal="left"/>
    </xf>
    <xf numFmtId="166" fontId="33" fillId="0" borderId="9" xfId="0" applyFont="1" applyBorder="1" applyAlignment="1">
      <alignment horizontal="left"/>
    </xf>
    <xf numFmtId="166" fontId="40" fillId="0" borderId="0" xfId="0" applyFont="1" applyFill="1" applyAlignment="1">
      <alignment horizontal="center" wrapText="1"/>
    </xf>
    <xf numFmtId="166" fontId="33" fillId="0" borderId="2" xfId="0" applyFont="1" applyFill="1" applyBorder="1" applyAlignment="1">
      <alignment horizontal="left" vertical="center" wrapText="1"/>
    </xf>
    <xf numFmtId="166" fontId="33" fillId="0" borderId="0" xfId="0" applyFont="1" applyFill="1" applyBorder="1" applyAlignment="1">
      <alignment horizontal="left" vertical="center" wrapText="1"/>
    </xf>
    <xf numFmtId="166" fontId="33" fillId="0" borderId="4" xfId="0" applyFont="1" applyFill="1" applyBorder="1" applyAlignment="1">
      <alignment horizontal="left" vertical="center" wrapText="1"/>
    </xf>
    <xf numFmtId="1" fontId="33" fillId="0" borderId="11" xfId="0" applyNumberFormat="1" applyFont="1" applyFill="1" applyBorder="1" applyAlignment="1">
      <alignment horizontal="center" vertical="center" wrapText="1"/>
    </xf>
    <xf numFmtId="1" fontId="33" fillId="0" borderId="19" xfId="0" applyNumberFormat="1" applyFont="1" applyFill="1" applyBorder="1" applyAlignment="1">
      <alignment horizontal="center" vertical="center" wrapText="1"/>
    </xf>
    <xf numFmtId="1" fontId="33" fillId="0" borderId="27" xfId="0" applyNumberFormat="1" applyFont="1" applyFill="1" applyBorder="1" applyAlignment="1">
      <alignment horizontal="center" vertical="center" wrapText="1"/>
    </xf>
    <xf numFmtId="164" fontId="33" fillId="16" borderId="45" xfId="0" applyNumberFormat="1" applyFont="1" applyFill="1" applyBorder="1" applyAlignment="1">
      <alignment horizontal="center" vertical="center" wrapText="1"/>
    </xf>
    <xf numFmtId="164" fontId="33" fillId="16" borderId="41" xfId="0" applyNumberFormat="1" applyFont="1" applyFill="1" applyBorder="1" applyAlignment="1">
      <alignment horizontal="center" vertical="center" wrapText="1"/>
    </xf>
    <xf numFmtId="166" fontId="33" fillId="0" borderId="11" xfId="0" applyFont="1" applyFill="1" applyBorder="1" applyAlignment="1">
      <alignment horizontal="left" vertical="center" wrapText="1"/>
    </xf>
    <xf numFmtId="166" fontId="33" fillId="0" borderId="19" xfId="0" applyFont="1" applyFill="1" applyBorder="1" applyAlignment="1">
      <alignment horizontal="left" vertical="center" wrapText="1"/>
    </xf>
    <xf numFmtId="1" fontId="33" fillId="0" borderId="11" xfId="0" applyNumberFormat="1" applyFont="1" applyFill="1" applyBorder="1" applyAlignment="1">
      <alignment horizontal="center" vertical="center"/>
    </xf>
    <xf numFmtId="1" fontId="33" fillId="0" borderId="19" xfId="0" applyNumberFormat="1" applyFont="1" applyFill="1" applyBorder="1" applyAlignment="1">
      <alignment horizontal="center" vertical="center"/>
    </xf>
    <xf numFmtId="166" fontId="33" fillId="0" borderId="48" xfId="0" applyFont="1" applyFill="1" applyBorder="1" applyAlignment="1">
      <alignment horizontal="left" vertical="center" wrapText="1"/>
    </xf>
    <xf numFmtId="164" fontId="40" fillId="17" borderId="46" xfId="0" applyNumberFormat="1" applyFont="1" applyFill="1" applyBorder="1" applyAlignment="1">
      <alignment horizontal="center" vertical="center" wrapText="1"/>
    </xf>
    <xf numFmtId="164" fontId="40" fillId="17" borderId="38" xfId="0" applyNumberFormat="1" applyFont="1" applyFill="1" applyBorder="1" applyAlignment="1">
      <alignment horizontal="center" vertical="center" wrapText="1"/>
    </xf>
    <xf numFmtId="164" fontId="40" fillId="17" borderId="15" xfId="0" applyNumberFormat="1" applyFont="1" applyFill="1" applyBorder="1" applyAlignment="1">
      <alignment horizontal="center" vertical="center" wrapText="1"/>
    </xf>
    <xf numFmtId="164" fontId="40" fillId="17" borderId="16" xfId="0" applyNumberFormat="1" applyFont="1" applyFill="1" applyBorder="1" applyAlignment="1">
      <alignment horizontal="center" vertical="center" wrapText="1"/>
    </xf>
    <xf numFmtId="166" fontId="36" fillId="19" borderId="66" xfId="0" applyFont="1" applyFill="1" applyBorder="1" applyAlignment="1">
      <alignment horizontal="center"/>
    </xf>
    <xf numFmtId="166" fontId="36" fillId="19" borderId="7" xfId="0" applyFont="1" applyFill="1" applyBorder="1" applyAlignment="1">
      <alignment horizontal="center"/>
    </xf>
    <xf numFmtId="166" fontId="33" fillId="0" borderId="12" xfId="0" applyFont="1" applyFill="1" applyBorder="1" applyAlignment="1">
      <alignment horizontal="center" vertical="center" textRotation="90" wrapText="1"/>
    </xf>
    <xf numFmtId="166" fontId="33" fillId="0" borderId="12" xfId="0" applyNumberFormat="1" applyFont="1" applyFill="1" applyBorder="1" applyAlignment="1">
      <alignment horizontal="center" vertical="center" textRotation="90" wrapText="1"/>
    </xf>
    <xf numFmtId="166" fontId="73" fillId="0" borderId="8" xfId="0" applyFont="1" applyBorder="1" applyAlignment="1">
      <alignment horizontal="center" vertical="center" wrapText="1"/>
    </xf>
    <xf numFmtId="166" fontId="73" fillId="0" borderId="9" xfId="0" applyFont="1" applyBorder="1" applyAlignment="1">
      <alignment horizontal="center" vertical="center" wrapText="1"/>
    </xf>
    <xf numFmtId="166" fontId="73" fillId="0" borderId="10" xfId="0" applyFont="1" applyBorder="1" applyAlignment="1">
      <alignment horizontal="center" vertical="center" wrapText="1"/>
    </xf>
    <xf numFmtId="166" fontId="11" fillId="41" borderId="13" xfId="0" applyFont="1" applyFill="1" applyBorder="1" applyAlignment="1">
      <alignment horizontal="center" vertical="center" textRotation="90" wrapText="1"/>
    </xf>
    <xf numFmtId="166" fontId="11" fillId="41" borderId="47" xfId="0" applyFont="1" applyFill="1" applyBorder="1" applyAlignment="1">
      <alignment horizontal="center" vertical="center" textRotation="90" wrapText="1"/>
    </xf>
    <xf numFmtId="166" fontId="11" fillId="41" borderId="14" xfId="0" applyFont="1" applyFill="1" applyBorder="1" applyAlignment="1">
      <alignment horizontal="center" vertical="center" textRotation="90" wrapText="1"/>
    </xf>
    <xf numFmtId="166" fontId="11" fillId="7" borderId="12" xfId="0" applyFont="1" applyFill="1" applyBorder="1" applyAlignment="1">
      <alignment horizontal="left" vertical="center" wrapText="1"/>
    </xf>
    <xf numFmtId="166" fontId="11" fillId="4" borderId="12" xfId="0" applyFont="1" applyFill="1" applyBorder="1" applyAlignment="1">
      <alignment horizontal="center" vertical="center" textRotation="90"/>
    </xf>
    <xf numFmtId="166" fontId="14" fillId="2" borderId="1" xfId="0" applyFont="1" applyFill="1" applyBorder="1" applyAlignment="1">
      <alignment horizontal="center" vertical="center" wrapText="1"/>
    </xf>
    <xf numFmtId="166" fontId="14" fillId="2" borderId="2" xfId="0" applyFont="1" applyFill="1" applyBorder="1" applyAlignment="1">
      <alignment horizontal="center" vertical="center" wrapText="1"/>
    </xf>
    <xf numFmtId="166" fontId="14" fillId="2" borderId="5" xfId="0" applyFont="1" applyFill="1" applyBorder="1" applyAlignment="1">
      <alignment horizontal="center" vertical="center" wrapText="1"/>
    </xf>
    <xf numFmtId="166" fontId="14" fillId="2" borderId="3" xfId="0" applyFont="1" applyFill="1" applyBorder="1" applyAlignment="1">
      <alignment horizontal="center" vertical="center" wrapText="1"/>
    </xf>
    <xf numFmtId="166" fontId="14" fillId="2" borderId="4" xfId="0" applyFont="1" applyFill="1" applyBorder="1" applyAlignment="1">
      <alignment horizontal="center" vertical="center" wrapText="1"/>
    </xf>
    <xf numFmtId="166" fontId="14" fillId="2" borderId="6" xfId="0" applyFont="1" applyFill="1" applyBorder="1" applyAlignment="1">
      <alignment horizontal="center" vertical="center" wrapText="1"/>
    </xf>
    <xf numFmtId="166" fontId="17" fillId="32" borderId="53" xfId="0" applyFont="1" applyFill="1" applyBorder="1" applyAlignment="1">
      <alignment horizontal="center" vertical="center" textRotation="90" wrapText="1"/>
    </xf>
    <xf numFmtId="166" fontId="11" fillId="5" borderId="34" xfId="0" applyFont="1" applyFill="1" applyBorder="1" applyAlignment="1">
      <alignment horizontal="center" vertical="center" textRotation="90" wrapText="1"/>
    </xf>
    <xf numFmtId="166" fontId="11" fillId="5" borderId="29" xfId="0" applyFont="1" applyFill="1" applyBorder="1" applyAlignment="1">
      <alignment horizontal="center" vertical="center" textRotation="90" wrapText="1"/>
    </xf>
    <xf numFmtId="166" fontId="11" fillId="7" borderId="12" xfId="0" applyFont="1" applyFill="1" applyBorder="1" applyAlignment="1">
      <alignment horizontal="center" vertical="center" textRotation="90" wrapText="1"/>
    </xf>
    <xf numFmtId="166" fontId="11" fillId="33" borderId="67" xfId="0" applyFont="1" applyFill="1" applyBorder="1" applyAlignment="1">
      <alignment horizontal="center" vertical="center" textRotation="90" wrapText="1"/>
    </xf>
    <xf numFmtId="166" fontId="11" fillId="33" borderId="24" xfId="0" applyFont="1" applyFill="1" applyBorder="1" applyAlignment="1">
      <alignment horizontal="center" vertical="center" textRotation="90" wrapText="1"/>
    </xf>
    <xf numFmtId="166" fontId="32" fillId="0" borderId="4" xfId="0" applyFont="1" applyFill="1" applyBorder="1" applyAlignment="1">
      <alignment horizontal="center"/>
    </xf>
    <xf numFmtId="166" fontId="40" fillId="0" borderId="12" xfId="0" applyFont="1" applyFill="1" applyBorder="1" applyAlignment="1">
      <alignment horizontal="center" vertical="center" textRotation="90" wrapText="1"/>
    </xf>
    <xf numFmtId="166" fontId="40" fillId="0" borderId="12" xfId="0" applyNumberFormat="1" applyFont="1" applyFill="1" applyBorder="1" applyAlignment="1">
      <alignment horizontal="center" vertical="center" textRotation="90" wrapText="1"/>
    </xf>
    <xf numFmtId="1" fontId="79" fillId="40" borderId="7" xfId="0" applyNumberFormat="1" applyFont="1" applyFill="1" applyBorder="1" applyAlignment="1">
      <alignment horizontal="center"/>
    </xf>
    <xf numFmtId="166" fontId="40" fillId="0" borderId="13" xfId="0" applyFont="1" applyFill="1" applyBorder="1" applyAlignment="1">
      <alignment horizontal="center" vertical="center" textRotation="90" wrapText="1"/>
    </xf>
    <xf numFmtId="166" fontId="0" fillId="0" borderId="14" xfId="0" applyBorder="1" applyAlignment="1">
      <alignment horizontal="center" vertical="center" textRotation="90" wrapText="1"/>
    </xf>
    <xf numFmtId="166" fontId="40" fillId="0" borderId="47" xfId="0" applyFont="1" applyFill="1" applyBorder="1" applyAlignment="1">
      <alignment horizontal="center" vertical="center" textRotation="90" wrapText="1"/>
    </xf>
    <xf numFmtId="166" fontId="40" fillId="0" borderId="23" xfId="0" applyFont="1" applyFill="1" applyBorder="1" applyAlignment="1">
      <alignment horizontal="center" vertical="center" textRotation="90" wrapText="1"/>
    </xf>
    <xf numFmtId="166" fontId="40" fillId="0" borderId="14" xfId="0" applyFont="1" applyFill="1" applyBorder="1" applyAlignment="1">
      <alignment horizontal="center" vertical="center" textRotation="90" wrapText="1"/>
    </xf>
    <xf numFmtId="164" fontId="73" fillId="0" borderId="4" xfId="0" applyNumberFormat="1" applyFont="1" applyBorder="1" applyAlignment="1">
      <alignment horizontal="center" vertical="center" wrapText="1"/>
    </xf>
    <xf numFmtId="166" fontId="11" fillId="26" borderId="12" xfId="0" applyFont="1" applyFill="1" applyBorder="1" applyAlignment="1">
      <alignment horizontal="center" vertical="center" textRotation="90"/>
    </xf>
    <xf numFmtId="166" fontId="11" fillId="8" borderId="13" xfId="0" applyFont="1" applyFill="1" applyBorder="1" applyAlignment="1">
      <alignment horizontal="center" vertical="center" textRotation="90" wrapText="1"/>
    </xf>
    <xf numFmtId="166" fontId="11" fillId="8" borderId="14" xfId="0" applyFont="1" applyFill="1" applyBorder="1" applyAlignment="1">
      <alignment horizontal="center" vertical="center" textRotation="90" wrapText="1"/>
    </xf>
    <xf numFmtId="166" fontId="11" fillId="21" borderId="12" xfId="0" applyFont="1" applyFill="1" applyBorder="1" applyAlignment="1">
      <alignment horizontal="center" vertical="center" textRotation="90" wrapText="1"/>
    </xf>
    <xf numFmtId="166" fontId="11" fillId="33" borderId="13" xfId="0" applyFont="1" applyFill="1" applyBorder="1" applyAlignment="1">
      <alignment horizontal="center" vertical="center" textRotation="90" wrapText="1"/>
    </xf>
    <xf numFmtId="166" fontId="9" fillId="33" borderId="47" xfId="0" applyFont="1" applyFill="1" applyBorder="1" applyAlignment="1">
      <alignment horizontal="center" vertical="center" textRotation="90" wrapText="1"/>
    </xf>
    <xf numFmtId="166" fontId="9" fillId="33" borderId="14" xfId="0" applyFont="1" applyFill="1" applyBorder="1" applyAlignment="1">
      <alignment horizontal="center" vertical="center" textRotation="90" wrapText="1"/>
    </xf>
    <xf numFmtId="166" fontId="11" fillId="37" borderId="13" xfId="0" applyFont="1" applyFill="1" applyBorder="1" applyAlignment="1">
      <alignment horizontal="center" vertical="center" textRotation="90" wrapText="1"/>
    </xf>
    <xf numFmtId="166" fontId="11" fillId="37" borderId="47" xfId="0" applyFont="1" applyFill="1" applyBorder="1" applyAlignment="1">
      <alignment horizontal="center" vertical="center" textRotation="90" wrapText="1"/>
    </xf>
    <xf numFmtId="166" fontId="11" fillId="37" borderId="14" xfId="0" applyFont="1" applyFill="1" applyBorder="1" applyAlignment="1">
      <alignment horizontal="center" vertical="center" textRotation="90" wrapText="1"/>
    </xf>
    <xf numFmtId="166" fontId="11" fillId="37" borderId="12" xfId="0" applyFont="1" applyFill="1" applyBorder="1" applyAlignment="1">
      <alignment horizontal="left" vertical="center" wrapText="1"/>
    </xf>
    <xf numFmtId="166" fontId="46" fillId="0" borderId="0" xfId="0" applyFont="1" applyFill="1" applyAlignment="1">
      <alignment horizontal="center" wrapText="1"/>
    </xf>
    <xf numFmtId="166" fontId="34" fillId="0" borderId="8" xfId="0" applyFont="1" applyFill="1" applyBorder="1" applyAlignment="1">
      <alignment horizontal="center" wrapText="1"/>
    </xf>
    <xf numFmtId="166" fontId="34" fillId="0" borderId="10" xfId="0" applyFont="1" applyFill="1" applyBorder="1" applyAlignment="1">
      <alignment horizontal="center" wrapText="1"/>
    </xf>
    <xf numFmtId="166" fontId="43" fillId="0" borderId="3" xfId="0" applyFont="1" applyFill="1" applyBorder="1" applyAlignment="1">
      <alignment horizontal="left" vertical="center" wrapText="1"/>
    </xf>
    <xf numFmtId="166" fontId="43" fillId="0" borderId="4" xfId="0" applyFont="1" applyFill="1" applyBorder="1" applyAlignment="1">
      <alignment horizontal="left" vertical="center" wrapText="1"/>
    </xf>
    <xf numFmtId="166" fontId="43" fillId="0" borderId="4" xfId="0" applyFont="1" applyFill="1" applyBorder="1" applyAlignment="1">
      <alignment horizontal="left"/>
    </xf>
    <xf numFmtId="166" fontId="43" fillId="0" borderId="9" xfId="0" applyFont="1" applyFill="1" applyBorder="1" applyAlignment="1">
      <alignment horizontal="left"/>
    </xf>
    <xf numFmtId="1" fontId="34" fillId="0" borderId="4" xfId="0" applyNumberFormat="1" applyFont="1" applyFill="1" applyBorder="1" applyAlignment="1">
      <alignment horizontal="left"/>
    </xf>
    <xf numFmtId="166" fontId="34" fillId="0" borderId="49" xfId="0" applyFont="1" applyFill="1" applyBorder="1" applyAlignment="1">
      <alignment horizontal="center" vertical="center" textRotation="90" wrapText="1"/>
    </xf>
    <xf numFmtId="166" fontId="34" fillId="0" borderId="53" xfId="0" applyFont="1" applyFill="1" applyBorder="1" applyAlignment="1">
      <alignment horizontal="center" vertical="center" textRotation="90" wrapText="1"/>
    </xf>
    <xf numFmtId="166" fontId="34" fillId="0" borderId="50" xfId="0" applyFont="1" applyFill="1" applyBorder="1" applyAlignment="1">
      <alignment horizontal="center" vertical="center" textRotation="90" wrapText="1"/>
    </xf>
    <xf numFmtId="166" fontId="43" fillId="0" borderId="51" xfId="0" applyFont="1" applyFill="1" applyBorder="1" applyAlignment="1">
      <alignment horizontal="left" vertical="center" wrapText="1"/>
    </xf>
    <xf numFmtId="166" fontId="43" fillId="0" borderId="12" xfId="0" applyFont="1" applyFill="1" applyBorder="1" applyAlignment="1">
      <alignment horizontal="left" vertical="center" wrapText="1"/>
    </xf>
    <xf numFmtId="166" fontId="43" fillId="0" borderId="54" xfId="0" applyFont="1" applyFill="1" applyBorder="1" applyAlignment="1">
      <alignment horizontal="left" vertical="center" wrapText="1"/>
    </xf>
    <xf numFmtId="166" fontId="34" fillId="0" borderId="33" xfId="0" applyFont="1" applyFill="1" applyBorder="1" applyAlignment="1">
      <alignment horizontal="center" vertical="center" textRotation="90"/>
    </xf>
    <xf numFmtId="166" fontId="34" fillId="0" borderId="34" xfId="0" applyFont="1" applyFill="1" applyBorder="1" applyAlignment="1">
      <alignment horizontal="center" vertical="center" textRotation="90"/>
    </xf>
    <xf numFmtId="166" fontId="34" fillId="0" borderId="29" xfId="0" applyFont="1" applyFill="1" applyBorder="1" applyAlignment="1">
      <alignment horizontal="center" vertical="center" textRotation="90"/>
    </xf>
    <xf numFmtId="166" fontId="33" fillId="0" borderId="12" xfId="0" applyFont="1" applyFill="1" applyBorder="1" applyAlignment="1">
      <alignment horizontal="left" vertical="center" wrapText="1"/>
    </xf>
    <xf numFmtId="166" fontId="43" fillId="0" borderId="65" xfId="0" applyFont="1" applyFill="1" applyBorder="1" applyAlignment="1">
      <alignment horizontal="left" vertical="center" wrapText="1"/>
    </xf>
    <xf numFmtId="166" fontId="43" fillId="0" borderId="39" xfId="0" applyFont="1" applyFill="1" applyBorder="1" applyAlignment="1">
      <alignment horizontal="left" vertical="center" wrapText="1"/>
    </xf>
    <xf numFmtId="166" fontId="43" fillId="0" borderId="26" xfId="0" applyFont="1" applyFill="1" applyBorder="1" applyAlignment="1">
      <alignment horizontal="left" vertical="center" wrapText="1"/>
    </xf>
    <xf numFmtId="166" fontId="43" fillId="0" borderId="16" xfId="0" applyFont="1" applyFill="1" applyBorder="1" applyAlignment="1">
      <alignment horizontal="left" vertical="center" wrapText="1"/>
    </xf>
    <xf numFmtId="166" fontId="50" fillId="0" borderId="0" xfId="0" applyFont="1" applyFill="1" applyAlignment="1">
      <alignment horizontal="center" wrapText="1"/>
    </xf>
    <xf numFmtId="166" fontId="34" fillId="0" borderId="49" xfId="7" applyFont="1" applyFill="1" applyBorder="1" applyAlignment="1">
      <alignment horizontal="center" vertical="center" textRotation="90" wrapText="1"/>
    </xf>
    <xf numFmtId="166" fontId="34" fillId="0" borderId="53" xfId="7" applyFont="1" applyFill="1" applyBorder="1" applyAlignment="1">
      <alignment horizontal="center" vertical="center" textRotation="90" wrapText="1"/>
    </xf>
    <xf numFmtId="166" fontId="34" fillId="0" borderId="50" xfId="7" applyFont="1" applyFill="1" applyBorder="1" applyAlignment="1">
      <alignment horizontal="center" vertical="center" textRotation="90" wrapText="1"/>
    </xf>
    <xf numFmtId="1" fontId="43" fillId="0" borderId="13" xfId="7" applyNumberFormat="1" applyFont="1" applyFill="1" applyBorder="1" applyAlignment="1">
      <alignment horizontal="center" vertical="center" wrapText="1"/>
    </xf>
    <xf numFmtId="1" fontId="43" fillId="0" borderId="47" xfId="7" applyNumberFormat="1" applyFont="1" applyFill="1" applyBorder="1" applyAlignment="1">
      <alignment horizontal="center" vertical="center" wrapText="1"/>
    </xf>
    <xf numFmtId="1" fontId="43" fillId="0" borderId="56" xfId="7" applyNumberFormat="1" applyFont="1" applyFill="1" applyBorder="1" applyAlignment="1">
      <alignment horizontal="center" vertical="center" wrapText="1"/>
    </xf>
    <xf numFmtId="166" fontId="43" fillId="0" borderId="13" xfId="7" applyFont="1" applyFill="1" applyBorder="1" applyAlignment="1">
      <alignment horizontal="left" vertical="center" wrapText="1"/>
    </xf>
    <xf numFmtId="166" fontId="43" fillId="0" borderId="47" xfId="7" applyFont="1" applyFill="1" applyBorder="1" applyAlignment="1">
      <alignment horizontal="left" vertical="center" wrapText="1"/>
    </xf>
    <xf numFmtId="166" fontId="43" fillId="0" borderId="56" xfId="7" applyFont="1" applyFill="1" applyBorder="1" applyAlignment="1">
      <alignment horizontal="left" vertical="center" wrapText="1"/>
    </xf>
    <xf numFmtId="1" fontId="43" fillId="0" borderId="12" xfId="7" applyNumberFormat="1" applyFont="1" applyFill="1" applyBorder="1" applyAlignment="1">
      <alignment horizontal="center" vertical="center" wrapText="1"/>
    </xf>
    <xf numFmtId="166" fontId="43" fillId="0" borderId="12" xfId="7" applyFont="1" applyFill="1" applyBorder="1" applyAlignment="1">
      <alignment horizontal="left" vertical="center" wrapText="1"/>
    </xf>
    <xf numFmtId="166" fontId="34" fillId="0" borderId="1" xfId="7" applyFont="1" applyFill="1" applyBorder="1" applyAlignment="1">
      <alignment horizontal="center" vertical="center" wrapText="1"/>
    </xf>
    <xf numFmtId="166" fontId="34" fillId="0" borderId="2" xfId="7" applyFont="1" applyFill="1" applyBorder="1" applyAlignment="1">
      <alignment horizontal="center" vertical="center" wrapText="1"/>
    </xf>
    <xf numFmtId="166" fontId="34" fillId="0" borderId="5" xfId="7" applyFont="1" applyFill="1" applyBorder="1" applyAlignment="1">
      <alignment horizontal="center" vertical="center" wrapText="1"/>
    </xf>
    <xf numFmtId="166" fontId="43" fillId="0" borderId="14" xfId="7" applyFont="1" applyFill="1" applyBorder="1" applyAlignment="1">
      <alignment horizontal="left" vertical="center" wrapText="1"/>
    </xf>
    <xf numFmtId="14" fontId="43" fillId="0" borderId="9" xfId="0" applyNumberFormat="1" applyFont="1" applyFill="1" applyBorder="1" applyAlignment="1">
      <alignment horizontal="left"/>
    </xf>
    <xf numFmtId="166" fontId="34" fillId="0" borderId="2" xfId="0" applyFont="1" applyFill="1" applyBorder="1" applyAlignment="1">
      <alignment horizontal="left" wrapText="1"/>
    </xf>
    <xf numFmtId="164" fontId="34" fillId="0" borderId="4" xfId="0" applyNumberFormat="1" applyFont="1" applyFill="1" applyBorder="1" applyAlignment="1">
      <alignment horizontal="center"/>
    </xf>
    <xf numFmtId="166" fontId="34" fillId="0" borderId="11" xfId="7" applyFont="1" applyFill="1" applyBorder="1" applyAlignment="1">
      <alignment horizontal="center" vertical="center" textRotation="90" wrapText="1"/>
    </xf>
    <xf numFmtId="166" fontId="34" fillId="0" borderId="19" xfId="7" applyFont="1" applyFill="1" applyBorder="1" applyAlignment="1">
      <alignment horizontal="center" vertical="center" textRotation="90" wrapText="1"/>
    </xf>
    <xf numFmtId="166" fontId="34" fillId="0" borderId="27" xfId="7" applyFont="1" applyFill="1" applyBorder="1" applyAlignment="1">
      <alignment horizontal="center" vertical="center" textRotation="90" wrapText="1"/>
    </xf>
    <xf numFmtId="1" fontId="43" fillId="0" borderId="58" xfId="7" applyNumberFormat="1" applyFont="1" applyFill="1" applyBorder="1" applyAlignment="1">
      <alignment horizontal="center" vertical="center" wrapText="1"/>
    </xf>
    <xf numFmtId="1" fontId="43" fillId="0" borderId="16" xfId="7" applyNumberFormat="1" applyFont="1" applyFill="1" applyBorder="1" applyAlignment="1">
      <alignment horizontal="center" vertical="center" wrapText="1"/>
    </xf>
    <xf numFmtId="166" fontId="43" fillId="0" borderId="64" xfId="7" applyFont="1" applyFill="1" applyBorder="1" applyAlignment="1">
      <alignment horizontal="left" vertical="center" wrapText="1"/>
    </xf>
    <xf numFmtId="166" fontId="43" fillId="0" borderId="23" xfId="7" applyFont="1" applyFill="1" applyBorder="1" applyAlignment="1">
      <alignment horizontal="left" vertical="center" wrapText="1"/>
    </xf>
    <xf numFmtId="166" fontId="43" fillId="0" borderId="25" xfId="7" applyFont="1" applyFill="1" applyBorder="1" applyAlignment="1">
      <alignment horizontal="left" vertical="center" wrapText="1"/>
    </xf>
    <xf numFmtId="1" fontId="43" fillId="0" borderId="22" xfId="7" applyNumberFormat="1" applyFont="1" applyFill="1" applyBorder="1" applyAlignment="1">
      <alignment horizontal="center" vertical="center" wrapText="1"/>
    </xf>
    <xf numFmtId="1" fontId="43" fillId="0" borderId="24" xfId="7" applyNumberFormat="1" applyFont="1" applyFill="1" applyBorder="1" applyAlignment="1">
      <alignment horizontal="center" vertical="center" wrapText="1"/>
    </xf>
    <xf numFmtId="1" fontId="43" fillId="0" borderId="61" xfId="7" applyNumberFormat="1" applyFont="1" applyFill="1" applyBorder="1" applyAlignment="1">
      <alignment horizontal="center" vertical="center" wrapText="1"/>
    </xf>
    <xf numFmtId="1" fontId="43" fillId="0" borderId="53" xfId="7" applyNumberFormat="1" applyFont="1" applyFill="1" applyBorder="1" applyAlignment="1">
      <alignment horizontal="center" vertical="center" wrapText="1"/>
    </xf>
    <xf numFmtId="1" fontId="43" fillId="0" borderId="62" xfId="7" applyNumberFormat="1" applyFont="1" applyFill="1" applyBorder="1" applyAlignment="1">
      <alignment horizontal="center" vertical="center" wrapText="1"/>
    </xf>
    <xf numFmtId="166" fontId="43" fillId="13" borderId="13" xfId="7" applyFont="1" applyFill="1" applyBorder="1" applyAlignment="1">
      <alignment horizontal="left" vertical="center" wrapText="1"/>
    </xf>
    <xf numFmtId="166" fontId="43" fillId="13" borderId="47" xfId="7" applyFont="1" applyFill="1" applyBorder="1" applyAlignment="1">
      <alignment horizontal="left" vertical="center" wrapText="1"/>
    </xf>
    <xf numFmtId="166" fontId="43" fillId="13" borderId="14" xfId="7" applyFont="1" applyFill="1" applyBorder="1" applyAlignment="1">
      <alignment horizontal="left" vertical="center" wrapText="1"/>
    </xf>
    <xf numFmtId="166" fontId="43" fillId="0" borderId="15" xfId="7" applyFont="1" applyFill="1" applyBorder="1" applyAlignment="1">
      <alignment horizontal="left" vertical="center" wrapText="1"/>
    </xf>
    <xf numFmtId="166" fontId="43" fillId="0" borderId="26" xfId="7" applyFont="1" applyFill="1" applyBorder="1" applyAlignment="1">
      <alignment horizontal="left" vertical="center" wrapText="1"/>
    </xf>
    <xf numFmtId="166" fontId="43" fillId="0" borderId="16" xfId="7" applyFont="1" applyFill="1" applyBorder="1" applyAlignment="1">
      <alignment horizontal="left" vertical="center" wrapText="1"/>
    </xf>
    <xf numFmtId="166" fontId="43" fillId="13" borderId="26" xfId="7" applyFont="1" applyFill="1" applyBorder="1" applyAlignment="1">
      <alignment horizontal="left" vertical="center" wrapText="1"/>
    </xf>
    <xf numFmtId="166" fontId="43" fillId="13" borderId="16" xfId="7" applyFont="1" applyFill="1" applyBorder="1" applyAlignment="1">
      <alignment horizontal="left" vertical="center" wrapText="1"/>
    </xf>
    <xf numFmtId="1" fontId="43" fillId="13" borderId="61" xfId="7" applyNumberFormat="1" applyFont="1" applyFill="1" applyBorder="1" applyAlignment="1">
      <alignment horizontal="center" vertical="center" wrapText="1"/>
    </xf>
    <xf numFmtId="1" fontId="43" fillId="13" borderId="53" xfId="7" applyNumberFormat="1" applyFont="1" applyFill="1" applyBorder="1" applyAlignment="1">
      <alignment horizontal="center" vertical="center" wrapText="1"/>
    </xf>
    <xf numFmtId="1" fontId="43" fillId="13" borderId="50" xfId="7" applyNumberFormat="1" applyFont="1" applyFill="1" applyBorder="1" applyAlignment="1">
      <alignment horizontal="center" vertical="center" wrapText="1"/>
    </xf>
    <xf numFmtId="166" fontId="43" fillId="13" borderId="56" xfId="7" applyFont="1" applyFill="1" applyBorder="1" applyAlignment="1">
      <alignment horizontal="left" vertical="center" wrapText="1"/>
    </xf>
    <xf numFmtId="1" fontId="43" fillId="13" borderId="34" xfId="7" applyNumberFormat="1" applyFont="1" applyFill="1" applyBorder="1" applyAlignment="1">
      <alignment horizontal="center" vertical="center" wrapText="1"/>
    </xf>
    <xf numFmtId="1" fontId="43" fillId="13" borderId="29" xfId="7" applyNumberFormat="1" applyFont="1" applyFill="1" applyBorder="1" applyAlignment="1">
      <alignment horizontal="center" vertical="center" wrapText="1"/>
    </xf>
    <xf numFmtId="166" fontId="43" fillId="13" borderId="12" xfId="7" applyFont="1" applyFill="1" applyBorder="1" applyAlignment="1">
      <alignment horizontal="left" vertical="center"/>
    </xf>
    <xf numFmtId="166" fontId="43" fillId="13" borderId="54" xfId="7" applyFont="1" applyFill="1" applyBorder="1" applyAlignment="1">
      <alignment horizontal="left" vertical="center"/>
    </xf>
    <xf numFmtId="166" fontId="3" fillId="0" borderId="51" xfId="7" applyFont="1" applyFill="1" applyBorder="1" applyAlignment="1">
      <alignment horizontal="left" vertical="center" wrapText="1"/>
    </xf>
    <xf numFmtId="166" fontId="4" fillId="0" borderId="51" xfId="7" applyFont="1" applyFill="1" applyBorder="1" applyAlignment="1">
      <alignment horizontal="left" vertical="center" wrapText="1"/>
    </xf>
    <xf numFmtId="1" fontId="43" fillId="0" borderId="34" xfId="7" applyNumberFormat="1" applyFont="1" applyFill="1" applyBorder="1" applyAlignment="1">
      <alignment horizontal="center" vertical="center" wrapText="1"/>
    </xf>
    <xf numFmtId="166" fontId="43" fillId="13" borderId="12" xfId="7" applyFont="1" applyFill="1" applyBorder="1" applyAlignment="1">
      <alignment horizontal="left" vertical="center" wrapText="1"/>
    </xf>
    <xf numFmtId="1" fontId="43" fillId="13" borderId="62" xfId="7" applyNumberFormat="1" applyFont="1" applyFill="1" applyBorder="1" applyAlignment="1">
      <alignment horizontal="center" vertical="center" wrapText="1"/>
    </xf>
    <xf numFmtId="166" fontId="43" fillId="29" borderId="49" xfId="0" applyFont="1" applyFill="1" applyBorder="1" applyAlignment="1">
      <alignment horizontal="center" vertical="center" textRotation="90" wrapText="1"/>
    </xf>
    <xf numFmtId="166" fontId="43" fillId="29" borderId="53" xfId="0" applyFont="1" applyFill="1" applyBorder="1" applyAlignment="1">
      <alignment horizontal="center" vertical="center" textRotation="90" wrapText="1"/>
    </xf>
    <xf numFmtId="166" fontId="43" fillId="29" borderId="50" xfId="0" applyFont="1" applyFill="1" applyBorder="1" applyAlignment="1">
      <alignment horizontal="center" vertical="center" textRotation="90" wrapText="1"/>
    </xf>
    <xf numFmtId="166" fontId="43" fillId="30" borderId="49" xfId="0" applyFont="1" applyFill="1" applyBorder="1" applyAlignment="1">
      <alignment horizontal="center" vertical="center" textRotation="90"/>
    </xf>
    <xf numFmtId="166" fontId="43" fillId="30" borderId="53" xfId="0" applyFont="1" applyFill="1" applyBorder="1" applyAlignment="1">
      <alignment horizontal="center" vertical="center" textRotation="90"/>
    </xf>
    <xf numFmtId="166" fontId="43" fillId="30" borderId="50" xfId="0" applyFont="1" applyFill="1" applyBorder="1" applyAlignment="1">
      <alignment horizontal="center" vertical="center" textRotation="90"/>
    </xf>
    <xf numFmtId="166" fontId="43" fillId="33" borderId="49" xfId="0" applyFont="1" applyFill="1" applyBorder="1" applyAlignment="1">
      <alignment horizontal="center" vertical="center" textRotation="90" wrapText="1"/>
    </xf>
    <xf numFmtId="166" fontId="43" fillId="33" borderId="53" xfId="0" applyFont="1" applyFill="1" applyBorder="1" applyAlignment="1">
      <alignment horizontal="center" vertical="center" textRotation="90" wrapText="1"/>
    </xf>
    <xf numFmtId="166" fontId="43" fillId="33" borderId="50" xfId="0" applyFont="1" applyFill="1" applyBorder="1" applyAlignment="1">
      <alignment horizontal="center" vertical="center" textRotation="90" wrapText="1"/>
    </xf>
    <xf numFmtId="166" fontId="40" fillId="0" borderId="0" xfId="0" applyFont="1" applyFill="1" applyBorder="1" applyAlignment="1">
      <alignment horizontal="center" vertical="top" wrapText="1"/>
    </xf>
    <xf numFmtId="166" fontId="40" fillId="0" borderId="37" xfId="0" applyFont="1" applyFill="1" applyBorder="1" applyAlignment="1">
      <alignment horizontal="center" vertical="top" wrapText="1"/>
    </xf>
    <xf numFmtId="15" fontId="51" fillId="0" borderId="0" xfId="0" applyNumberFormat="1" applyFont="1" applyFill="1" applyBorder="1" applyAlignment="1">
      <alignment horizontal="center" vertical="center" wrapText="1"/>
    </xf>
    <xf numFmtId="15" fontId="51" fillId="0" borderId="37" xfId="0" applyNumberFormat="1" applyFont="1" applyFill="1" applyBorder="1" applyAlignment="1">
      <alignment horizontal="center" vertical="center" wrapText="1"/>
    </xf>
    <xf numFmtId="166" fontId="51" fillId="0" borderId="4" xfId="0" applyFont="1" applyFill="1" applyBorder="1" applyAlignment="1">
      <alignment horizontal="center" vertical="center" wrapText="1"/>
    </xf>
    <xf numFmtId="166" fontId="51" fillId="0" borderId="6" xfId="0" applyFont="1" applyFill="1" applyBorder="1" applyAlignment="1">
      <alignment horizontal="center" vertical="center" wrapText="1"/>
    </xf>
    <xf numFmtId="1" fontId="34" fillId="0" borderId="0" xfId="0" applyNumberFormat="1" applyFont="1" applyFill="1" applyBorder="1" applyAlignment="1">
      <alignment horizontal="left" vertical="center" wrapText="1"/>
    </xf>
    <xf numFmtId="1" fontId="34" fillId="0" borderId="4" xfId="0" applyNumberFormat="1" applyFont="1" applyFill="1" applyBorder="1" applyAlignment="1">
      <alignment horizontal="left" vertical="center" wrapText="1"/>
    </xf>
    <xf numFmtId="2" fontId="34" fillId="19" borderId="12" xfId="3" applyNumberFormat="1" applyFont="1" applyFill="1" applyBorder="1" applyAlignment="1">
      <alignment horizontal="center" vertical="center" wrapText="1"/>
    </xf>
    <xf numFmtId="164" fontId="36" fillId="19" borderId="12" xfId="0" applyNumberFormat="1" applyFont="1" applyFill="1" applyBorder="1" applyAlignment="1">
      <alignment horizontal="center" vertical="center" wrapText="1"/>
    </xf>
    <xf numFmtId="166" fontId="43" fillId="32" borderId="1" xfId="0" applyFont="1" applyFill="1" applyBorder="1" applyAlignment="1">
      <alignment horizontal="center" vertical="center" textRotation="90" wrapText="1"/>
    </xf>
    <xf numFmtId="166" fontId="43" fillId="32" borderId="63" xfId="0" applyFont="1" applyFill="1" applyBorder="1" applyAlignment="1">
      <alignment horizontal="center" vertical="center" textRotation="90" wrapText="1"/>
    </xf>
    <xf numFmtId="166" fontId="43" fillId="32" borderId="3" xfId="0" applyFont="1" applyFill="1" applyBorder="1" applyAlignment="1">
      <alignment horizontal="center" vertical="center" textRotation="90" wrapText="1"/>
    </xf>
    <xf numFmtId="1" fontId="33" fillId="28" borderId="13" xfId="0" applyNumberFormat="1" applyFont="1" applyFill="1" applyBorder="1" applyAlignment="1">
      <alignment horizontal="center" vertical="center"/>
    </xf>
    <xf numFmtId="1" fontId="33" fillId="28" borderId="47" xfId="0" applyNumberFormat="1" applyFont="1" applyFill="1" applyBorder="1" applyAlignment="1">
      <alignment horizontal="center" vertical="center"/>
    </xf>
    <xf numFmtId="1" fontId="33" fillId="28" borderId="14" xfId="0" applyNumberFormat="1" applyFont="1" applyFill="1" applyBorder="1" applyAlignment="1">
      <alignment horizontal="center" vertical="center"/>
    </xf>
    <xf numFmtId="166" fontId="43" fillId="28" borderId="20" xfId="0" applyFont="1" applyFill="1" applyBorder="1" applyAlignment="1">
      <alignment horizontal="left" vertical="center" wrapText="1"/>
    </xf>
    <xf numFmtId="166" fontId="43" fillId="28" borderId="23" xfId="0" applyFont="1" applyFill="1" applyBorder="1" applyAlignment="1">
      <alignment horizontal="left" vertical="center" wrapText="1"/>
    </xf>
    <xf numFmtId="166" fontId="43" fillId="28" borderId="25" xfId="0" applyFont="1" applyFill="1" applyBorder="1" applyAlignment="1">
      <alignment horizontal="left" vertical="center" wrapText="1"/>
    </xf>
    <xf numFmtId="166" fontId="43" fillId="28" borderId="1" xfId="0" applyFont="1" applyFill="1" applyBorder="1" applyAlignment="1">
      <alignment horizontal="center" vertical="center" textRotation="90" wrapText="1"/>
    </xf>
    <xf numFmtId="166" fontId="43" fillId="28" borderId="63" xfId="0" applyFont="1" applyFill="1" applyBorder="1" applyAlignment="1">
      <alignment horizontal="center" vertical="center" textRotation="90" wrapText="1"/>
    </xf>
    <xf numFmtId="166" fontId="43" fillId="31" borderId="49" xfId="0" applyFont="1" applyFill="1" applyBorder="1" applyAlignment="1">
      <alignment horizontal="center" vertical="center" textRotation="90" wrapText="1"/>
    </xf>
    <xf numFmtId="166" fontId="43" fillId="31" borderId="53" xfId="0" applyFont="1" applyFill="1" applyBorder="1" applyAlignment="1">
      <alignment horizontal="center" vertical="center" textRotation="90" wrapText="1"/>
    </xf>
    <xf numFmtId="166" fontId="43" fillId="31" borderId="50" xfId="0" applyFont="1" applyFill="1" applyBorder="1" applyAlignment="1">
      <alignment horizontal="center" vertical="center" textRotation="90" wrapText="1"/>
    </xf>
    <xf numFmtId="166" fontId="11" fillId="0" borderId="25" xfId="0" applyNumberFormat="1" applyFont="1" applyFill="1" applyBorder="1" applyAlignment="1">
      <alignment horizontal="center" vertical="center" wrapText="1"/>
    </xf>
    <xf numFmtId="166" fontId="11" fillId="0" borderId="7" xfId="0" applyNumberFormat="1" applyFont="1" applyFill="1" applyBorder="1" applyAlignment="1">
      <alignment horizontal="center" vertical="center" wrapText="1"/>
    </xf>
    <xf numFmtId="2" fontId="9" fillId="0" borderId="0" xfId="0" applyNumberFormat="1" applyFont="1" applyFill="1" applyAlignment="1">
      <alignment horizontal="left" wrapText="1"/>
    </xf>
  </cellXfs>
  <cellStyles count="27">
    <cellStyle name="Comma" xfId="4" builtinId="3"/>
    <cellStyle name="Comma 2" xfId="8"/>
    <cellStyle name="Hyperlink" xfId="1" builtinId="8"/>
    <cellStyle name="Normal" xfId="0" builtinId="0"/>
    <cellStyle name="Normal 2" xfId="2"/>
    <cellStyle name="Normal 3" xfId="5"/>
    <cellStyle name="Normal 3 2" xfId="7"/>
    <cellStyle name="Normal 3 2 2" xfId="14"/>
    <cellStyle name="Normal 3 2 2 2" xfId="20"/>
    <cellStyle name="Normal 3 2 2 3" xfId="26"/>
    <cellStyle name="Normal 3 2 3" xfId="17"/>
    <cellStyle name="Normal 3 2 4" xfId="23"/>
    <cellStyle name="Normal 3 2_FISH_SCORE" xfId="10"/>
    <cellStyle name="Normal 3 3" xfId="12"/>
    <cellStyle name="Normal 3 3 2" xfId="18"/>
    <cellStyle name="Normal 3 3 3" xfId="24"/>
    <cellStyle name="Normal 3 4" xfId="15"/>
    <cellStyle name="Normal 3 5" xfId="21"/>
    <cellStyle name="Normal 3_FISH_SCORE" xfId="9"/>
    <cellStyle name="Normal 4" xfId="6"/>
    <cellStyle name="Normal 4 2" xfId="13"/>
    <cellStyle name="Normal 4 2 2" xfId="19"/>
    <cellStyle name="Normal 4 2 3" xfId="25"/>
    <cellStyle name="Normal 4 3" xfId="16"/>
    <cellStyle name="Normal 4 4" xfId="22"/>
    <cellStyle name="Normal 4_FISH_SCORE" xfId="11"/>
    <cellStyle name="Percent" xfId="3" builtinId="5"/>
  </cellStyles>
  <dxfs count="0"/>
  <tableStyles count="0" defaultTableStyle="TableStyleMedium9" defaultPivotStyle="PivotStyleLight16"/>
  <colors>
    <mruColors>
      <color rgb="FFFF99CC"/>
      <color rgb="FFFFFF99"/>
      <color rgb="FFFF9999"/>
      <color rgb="FFB2F286"/>
      <color rgb="FF00FF00"/>
      <color rgb="FFFF33CC"/>
      <color rgb="FF99FF33"/>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52"/>
  <sheetViews>
    <sheetView topLeftCell="A16" zoomScale="120" zoomScaleNormal="120" workbookViewId="0">
      <selection activeCell="A24" sqref="A24"/>
    </sheetView>
  </sheetViews>
  <sheetFormatPr defaultRowHeight="12.75" x14ac:dyDescent="0.2"/>
  <cols>
    <col min="1" max="1" width="5.140625" style="451" customWidth="1"/>
  </cols>
  <sheetData>
    <row r="1" spans="1:14" x14ac:dyDescent="0.2">
      <c r="A1" s="52" t="s">
        <v>680</v>
      </c>
      <c r="B1" s="52"/>
    </row>
    <row r="2" spans="1:14" x14ac:dyDescent="0.2">
      <c r="B2" s="52"/>
    </row>
    <row r="3" spans="1:14" ht="15" customHeight="1" x14ac:dyDescent="0.2">
      <c r="A3" s="1159" t="s">
        <v>756</v>
      </c>
      <c r="B3" s="1159"/>
      <c r="C3" s="1159"/>
      <c r="D3" s="1159"/>
      <c r="E3" s="1159"/>
      <c r="F3" s="1159"/>
      <c r="G3" s="1159"/>
      <c r="H3" s="1159"/>
      <c r="I3" s="1159"/>
      <c r="J3" s="1159"/>
      <c r="K3" s="1159"/>
      <c r="L3" s="1159"/>
      <c r="M3" s="1159"/>
      <c r="N3" s="1159"/>
    </row>
    <row r="4" spans="1:14" ht="12.75" customHeight="1" x14ac:dyDescent="0.2">
      <c r="A4" s="1159"/>
      <c r="B4" s="1159"/>
      <c r="C4" s="1159"/>
      <c r="D4" s="1159"/>
      <c r="E4" s="1159"/>
      <c r="F4" s="1159"/>
      <c r="G4" s="1159"/>
      <c r="H4" s="1159"/>
      <c r="I4" s="1159"/>
      <c r="J4" s="1159"/>
      <c r="K4" s="1159"/>
      <c r="L4" s="1159"/>
      <c r="M4" s="1159"/>
      <c r="N4" s="1159"/>
    </row>
    <row r="5" spans="1:14" ht="12.75" customHeight="1" x14ac:dyDescent="0.2">
      <c r="A5" s="1159"/>
      <c r="B5" s="1159"/>
      <c r="C5" s="1159"/>
      <c r="D5" s="1159"/>
      <c r="E5" s="1159"/>
      <c r="F5" s="1159"/>
      <c r="G5" s="1159"/>
      <c r="H5" s="1159"/>
      <c r="I5" s="1159"/>
      <c r="J5" s="1159"/>
      <c r="K5" s="1159"/>
      <c r="L5" s="1159"/>
      <c r="M5" s="1159"/>
      <c r="N5" s="1159"/>
    </row>
    <row r="6" spans="1:14" ht="12.75" customHeight="1" x14ac:dyDescent="0.2">
      <c r="A6" s="2"/>
      <c r="B6" s="2"/>
      <c r="C6" s="2"/>
      <c r="D6" s="2"/>
      <c r="E6" s="2"/>
      <c r="F6" s="2"/>
      <c r="G6" s="2"/>
      <c r="H6" s="2"/>
      <c r="I6" s="2"/>
      <c r="J6" s="2"/>
      <c r="K6" s="2"/>
      <c r="L6" s="2"/>
      <c r="M6" s="2"/>
      <c r="N6" s="2"/>
    </row>
    <row r="8" spans="1:14" ht="12.75" customHeight="1" x14ac:dyDescent="0.2">
      <c r="A8" s="1160" t="s">
        <v>580</v>
      </c>
      <c r="B8" s="1160"/>
      <c r="C8" s="1160"/>
      <c r="D8" s="1160"/>
      <c r="E8" s="1160"/>
      <c r="F8" s="1160"/>
      <c r="G8" s="1160"/>
      <c r="H8" s="1160"/>
      <c r="I8" s="1160"/>
      <c r="J8" s="1160"/>
      <c r="K8" s="1160"/>
      <c r="L8" s="1160"/>
      <c r="M8" s="1160"/>
      <c r="N8" s="1160"/>
    </row>
    <row r="9" spans="1:14" x14ac:dyDescent="0.2">
      <c r="A9" s="1160"/>
      <c r="B9" s="1160"/>
      <c r="C9" s="1160"/>
      <c r="D9" s="1160"/>
      <c r="E9" s="1160"/>
      <c r="F9" s="1160"/>
      <c r="G9" s="1160"/>
      <c r="H9" s="1160"/>
      <c r="I9" s="1160"/>
      <c r="J9" s="1160"/>
      <c r="K9" s="1160"/>
      <c r="L9" s="1160"/>
      <c r="M9" s="1160"/>
      <c r="N9" s="1160"/>
    </row>
    <row r="10" spans="1:14" x14ac:dyDescent="0.2">
      <c r="A10" s="1160"/>
      <c r="B10" s="1160"/>
      <c r="C10" s="1160"/>
      <c r="D10" s="1160"/>
      <c r="E10" s="1160"/>
      <c r="F10" s="1160"/>
      <c r="G10" s="1160"/>
      <c r="H10" s="1160"/>
      <c r="I10" s="1160"/>
      <c r="J10" s="1160"/>
      <c r="K10" s="1160"/>
      <c r="L10" s="1160"/>
      <c r="M10" s="1160"/>
      <c r="N10" s="1160"/>
    </row>
    <row r="11" spans="1:14" x14ac:dyDescent="0.2">
      <c r="A11" s="1160"/>
      <c r="B11" s="1160"/>
      <c r="C11" s="1160"/>
      <c r="D11" s="1160"/>
      <c r="E11" s="1160"/>
      <c r="F11" s="1160"/>
      <c r="G11" s="1160"/>
      <c r="H11" s="1160"/>
      <c r="I11" s="1160"/>
      <c r="J11" s="1160"/>
      <c r="K11" s="1160"/>
      <c r="L11" s="1160"/>
      <c r="M11" s="1160"/>
      <c r="N11" s="1160"/>
    </row>
    <row r="12" spans="1:14" ht="22.5" customHeight="1" x14ac:dyDescent="0.2">
      <c r="A12" s="1159" t="s">
        <v>681</v>
      </c>
      <c r="B12" s="1159"/>
      <c r="C12" s="1159"/>
      <c r="D12" s="1159"/>
      <c r="E12" s="1159"/>
      <c r="F12" s="1159"/>
      <c r="G12" s="1159"/>
      <c r="H12" s="1159"/>
      <c r="I12" s="1159"/>
      <c r="J12" s="1159"/>
      <c r="K12" s="1159"/>
      <c r="L12" s="1159"/>
      <c r="M12" s="1159"/>
      <c r="N12" s="1159"/>
    </row>
    <row r="13" spans="1:14" ht="18.75" customHeight="1" x14ac:dyDescent="0.2">
      <c r="A13" s="1159"/>
      <c r="B13" s="1159"/>
      <c r="C13" s="1159"/>
      <c r="D13" s="1159"/>
      <c r="E13" s="1159"/>
      <c r="F13" s="1159"/>
      <c r="G13" s="1159"/>
      <c r="H13" s="1159"/>
      <c r="I13" s="1159"/>
      <c r="J13" s="1159"/>
      <c r="K13" s="1159"/>
      <c r="L13" s="1159"/>
      <c r="M13" s="1159"/>
      <c r="N13" s="1159"/>
    </row>
    <row r="14" spans="1:14" ht="27.75" customHeight="1" x14ac:dyDescent="0.2">
      <c r="A14" s="1159"/>
      <c r="B14" s="1159"/>
      <c r="C14" s="1159"/>
      <c r="D14" s="1159"/>
      <c r="E14" s="1159"/>
      <c r="F14" s="1159"/>
      <c r="G14" s="1159"/>
      <c r="H14" s="1159"/>
      <c r="I14" s="1159"/>
      <c r="J14" s="1159"/>
      <c r="K14" s="1159"/>
      <c r="L14" s="1159"/>
      <c r="M14" s="1159"/>
      <c r="N14" s="1159"/>
    </row>
    <row r="15" spans="1:14" x14ac:dyDescent="0.2">
      <c r="A15" s="835"/>
    </row>
    <row r="16" spans="1:14" x14ac:dyDescent="0.2">
      <c r="A16" s="52" t="s">
        <v>672</v>
      </c>
    </row>
    <row r="17" spans="1:14" x14ac:dyDescent="0.2">
      <c r="A17" s="52"/>
    </row>
    <row r="18" spans="1:14" x14ac:dyDescent="0.2">
      <c r="A18" s="1159" t="s">
        <v>673</v>
      </c>
      <c r="B18" s="1159"/>
      <c r="C18" s="1159"/>
      <c r="D18" s="1159"/>
      <c r="E18" s="1159"/>
      <c r="F18" s="1159"/>
      <c r="G18" s="1159"/>
      <c r="H18" s="1159"/>
      <c r="I18" s="1159"/>
      <c r="J18" s="1159"/>
      <c r="K18" s="1159"/>
      <c r="L18" s="1159"/>
      <c r="M18" s="1159"/>
      <c r="N18" s="1159"/>
    </row>
    <row r="19" spans="1:14" x14ac:dyDescent="0.2">
      <c r="A19" s="1159"/>
      <c r="B19" s="1159"/>
      <c r="C19" s="1159"/>
      <c r="D19" s="1159"/>
      <c r="E19" s="1159"/>
      <c r="F19" s="1159"/>
      <c r="G19" s="1159"/>
      <c r="H19" s="1159"/>
      <c r="I19" s="1159"/>
      <c r="J19" s="1159"/>
      <c r="K19" s="1159"/>
      <c r="L19" s="1159"/>
      <c r="M19" s="1159"/>
      <c r="N19" s="1159"/>
    </row>
    <row r="20" spans="1:14" x14ac:dyDescent="0.2">
      <c r="A20" s="1159"/>
      <c r="B20" s="1159"/>
      <c r="C20" s="1159"/>
      <c r="D20" s="1159"/>
      <c r="E20" s="1159"/>
      <c r="F20" s="1159"/>
      <c r="G20" s="1159"/>
      <c r="H20" s="1159"/>
      <c r="I20" s="1159"/>
      <c r="J20" s="1159"/>
      <c r="K20" s="1159"/>
      <c r="L20" s="1159"/>
      <c r="M20" s="1159"/>
      <c r="N20" s="1159"/>
    </row>
    <row r="21" spans="1:14" x14ac:dyDescent="0.2">
      <c r="A21" s="1159"/>
      <c r="B21" s="1159"/>
      <c r="C21" s="1159"/>
      <c r="D21" s="1159"/>
      <c r="E21" s="1159"/>
      <c r="F21" s="1159"/>
      <c r="G21" s="1159"/>
      <c r="H21" s="1159"/>
      <c r="I21" s="1159"/>
      <c r="J21" s="1159"/>
      <c r="K21" s="1159"/>
      <c r="L21" s="1159"/>
      <c r="M21" s="1159"/>
      <c r="N21" s="1159"/>
    </row>
    <row r="22" spans="1:14" x14ac:dyDescent="0.2">
      <c r="A22" s="1159"/>
      <c r="B22" s="1159"/>
      <c r="C22" s="1159"/>
      <c r="D22" s="1159"/>
      <c r="E22" s="1159"/>
      <c r="F22" s="1159"/>
      <c r="G22" s="1159"/>
      <c r="H22" s="1159"/>
      <c r="I22" s="1159"/>
      <c r="J22" s="1159"/>
      <c r="K22" s="1159"/>
      <c r="L22" s="1159"/>
      <c r="M22" s="1159"/>
      <c r="N22" s="1159"/>
    </row>
    <row r="23" spans="1:14" x14ac:dyDescent="0.2">
      <c r="A23" s="77"/>
    </row>
    <row r="24" spans="1:14" x14ac:dyDescent="0.2">
      <c r="A24" s="77" t="s">
        <v>674</v>
      </c>
    </row>
    <row r="25" spans="1:14" x14ac:dyDescent="0.2">
      <c r="B25" s="77"/>
    </row>
    <row r="26" spans="1:14" x14ac:dyDescent="0.2">
      <c r="A26" s="451">
        <v>1</v>
      </c>
      <c r="B26" s="77" t="s">
        <v>675</v>
      </c>
    </row>
    <row r="27" spans="1:14" x14ac:dyDescent="0.2">
      <c r="B27" s="77"/>
    </row>
    <row r="28" spans="1:14" x14ac:dyDescent="0.2">
      <c r="A28" s="451">
        <v>2</v>
      </c>
      <c r="B28" s="77" t="s">
        <v>660</v>
      </c>
    </row>
    <row r="30" spans="1:14" x14ac:dyDescent="0.2">
      <c r="A30" s="816">
        <v>3</v>
      </c>
      <c r="B30" s="77" t="s">
        <v>661</v>
      </c>
    </row>
    <row r="32" spans="1:14" x14ac:dyDescent="0.2">
      <c r="A32" s="816">
        <v>4</v>
      </c>
      <c r="B32" s="77" t="s">
        <v>662</v>
      </c>
      <c r="G32" s="77"/>
    </row>
    <row r="34" spans="1:2" x14ac:dyDescent="0.2">
      <c r="A34" s="816">
        <v>5</v>
      </c>
      <c r="B34" s="77" t="s">
        <v>666</v>
      </c>
    </row>
    <row r="36" spans="1:2" x14ac:dyDescent="0.2">
      <c r="A36" s="451">
        <v>6</v>
      </c>
      <c r="B36" s="77" t="s">
        <v>663</v>
      </c>
    </row>
    <row r="38" spans="1:2" x14ac:dyDescent="0.2">
      <c r="A38" s="816">
        <v>7</v>
      </c>
      <c r="B38" s="77" t="s">
        <v>664</v>
      </c>
    </row>
    <row r="40" spans="1:2" x14ac:dyDescent="0.2">
      <c r="A40" s="816">
        <v>8</v>
      </c>
      <c r="B40" s="77" t="s">
        <v>665</v>
      </c>
    </row>
    <row r="42" spans="1:2" x14ac:dyDescent="0.2">
      <c r="A42" s="451">
        <v>9</v>
      </c>
      <c r="B42" s="77" t="s">
        <v>667</v>
      </c>
    </row>
    <row r="44" spans="1:2" x14ac:dyDescent="0.2">
      <c r="A44" s="816">
        <v>10</v>
      </c>
      <c r="B44" s="77" t="s">
        <v>668</v>
      </c>
    </row>
    <row r="46" spans="1:2" x14ac:dyDescent="0.2">
      <c r="A46" s="816">
        <v>11</v>
      </c>
      <c r="B46" s="77" t="s">
        <v>669</v>
      </c>
    </row>
    <row r="48" spans="1:2" x14ac:dyDescent="0.2">
      <c r="A48" s="451">
        <v>12</v>
      </c>
      <c r="B48" s="77" t="s">
        <v>670</v>
      </c>
    </row>
    <row r="50" spans="1:2" x14ac:dyDescent="0.2">
      <c r="A50" s="451">
        <v>13</v>
      </c>
      <c r="B50" s="77" t="s">
        <v>671</v>
      </c>
    </row>
    <row r="52" spans="1:2" x14ac:dyDescent="0.2">
      <c r="A52" s="451">
        <v>14</v>
      </c>
      <c r="B52" s="77" t="s">
        <v>755</v>
      </c>
    </row>
  </sheetData>
  <mergeCells count="4">
    <mergeCell ref="A18:N22"/>
    <mergeCell ref="A12:N14"/>
    <mergeCell ref="A8:N11"/>
    <mergeCell ref="A3:N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I41"/>
  <sheetViews>
    <sheetView tabSelected="1" topLeftCell="A7" zoomScale="70" zoomScaleNormal="70" workbookViewId="0">
      <selection activeCell="D8" sqref="D8:E8"/>
    </sheetView>
  </sheetViews>
  <sheetFormatPr defaultColWidth="9.140625" defaultRowHeight="15" x14ac:dyDescent="0.25"/>
  <cols>
    <col min="1" max="1" width="13.85546875" style="80" customWidth="1"/>
    <col min="2" max="2" width="15.42578125" style="427" customWidth="1"/>
    <col min="3" max="3" width="45.85546875" style="84" customWidth="1"/>
    <col min="4" max="4" width="68.7109375" style="80" customWidth="1"/>
    <col min="5" max="5" width="33" style="80" customWidth="1"/>
    <col min="6" max="6" width="15.28515625" style="265" customWidth="1"/>
    <col min="7" max="7" width="12.28515625" style="265" customWidth="1"/>
    <col min="8" max="8" width="12.28515625" style="93" customWidth="1"/>
    <col min="9" max="9" width="38.140625" style="80" customWidth="1"/>
    <col min="10" max="16384" width="9.140625" style="80"/>
  </cols>
  <sheetData>
    <row r="1" spans="1:9" ht="69.75" customHeight="1" x14ac:dyDescent="0.35">
      <c r="A1" s="1243" t="s">
        <v>652</v>
      </c>
      <c r="B1" s="1243"/>
      <c r="C1" s="1243"/>
      <c r="D1" s="1243"/>
      <c r="E1" s="1243"/>
      <c r="F1" s="1243"/>
      <c r="G1" s="1243"/>
      <c r="H1" s="1243"/>
    </row>
    <row r="2" spans="1:9" s="82" customFormat="1" ht="18" customHeight="1" thickBot="1" x14ac:dyDescent="0.3">
      <c r="B2" s="423" t="s">
        <v>65</v>
      </c>
      <c r="C2" s="1248"/>
      <c r="D2" s="1248"/>
      <c r="E2" s="81"/>
      <c r="F2" s="259" t="s">
        <v>75</v>
      </c>
      <c r="G2" s="259"/>
      <c r="H2" s="860"/>
    </row>
    <row r="3" spans="1:9" s="82" customFormat="1" ht="25.5" customHeight="1" thickBot="1" x14ac:dyDescent="0.3">
      <c r="B3" s="423" t="s">
        <v>285</v>
      </c>
      <c r="C3" s="1249"/>
      <c r="D3" s="1249"/>
      <c r="E3" s="298"/>
      <c r="F3" s="259" t="s">
        <v>286</v>
      </c>
      <c r="G3" s="259"/>
      <c r="H3" s="860"/>
    </row>
    <row r="4" spans="1:9" s="82" customFormat="1" ht="42.75" customHeight="1" thickBot="1" x14ac:dyDescent="0.3">
      <c r="B4" s="260" t="s">
        <v>287</v>
      </c>
      <c r="C4" s="1246" t="s">
        <v>536</v>
      </c>
      <c r="D4" s="1247"/>
      <c r="E4" s="1247"/>
      <c r="F4" s="1250" t="s">
        <v>26</v>
      </c>
      <c r="G4" s="1250"/>
      <c r="H4" s="860"/>
      <c r="I4" s="92"/>
    </row>
    <row r="5" spans="1:9" ht="39.950000000000003" customHeight="1" thickBot="1" x14ac:dyDescent="0.3">
      <c r="A5" s="86" t="s">
        <v>288</v>
      </c>
      <c r="B5" s="426" t="s">
        <v>289</v>
      </c>
      <c r="C5" s="297" t="s">
        <v>30</v>
      </c>
      <c r="D5" s="1244" t="s">
        <v>25</v>
      </c>
      <c r="E5" s="1245"/>
      <c r="F5" s="261" t="s">
        <v>54</v>
      </c>
      <c r="G5" s="1244" t="s">
        <v>77</v>
      </c>
      <c r="H5" s="1245"/>
      <c r="I5" s="36" t="s">
        <v>27</v>
      </c>
    </row>
    <row r="6" spans="1:9" ht="39.950000000000003" customHeight="1" thickBot="1" x14ac:dyDescent="0.3">
      <c r="A6" s="1251" t="s">
        <v>624</v>
      </c>
      <c r="B6" s="428">
        <v>1</v>
      </c>
      <c r="C6" s="429" t="s">
        <v>290</v>
      </c>
      <c r="D6" s="1254" t="s">
        <v>234</v>
      </c>
      <c r="E6" s="1254"/>
      <c r="F6" s="907">
        <f>VEG_DATA!AE324</f>
        <v>0</v>
      </c>
      <c r="G6" s="358"/>
      <c r="H6" s="359"/>
      <c r="I6" s="85" t="s">
        <v>27</v>
      </c>
    </row>
    <row r="7" spans="1:9" ht="39.950000000000003" customHeight="1" x14ac:dyDescent="0.25">
      <c r="A7" s="1252"/>
      <c r="B7" s="430">
        <v>2</v>
      </c>
      <c r="C7" s="431" t="s">
        <v>291</v>
      </c>
      <c r="D7" s="1255" t="s">
        <v>235</v>
      </c>
      <c r="E7" s="1255"/>
      <c r="F7" s="907" t="str">
        <f>+IF(SUM(FISH_FIELD!E10:N10)=0,"",(SUM(FISH_FIELD!E10:N10)))</f>
        <v/>
      </c>
      <c r="G7" s="360"/>
      <c r="H7" s="361"/>
      <c r="I7" s="87" t="s">
        <v>27</v>
      </c>
    </row>
    <row r="8" spans="1:9" ht="144.75" customHeight="1" thickBot="1" x14ac:dyDescent="0.3">
      <c r="A8" s="1253"/>
      <c r="B8" s="432">
        <v>3</v>
      </c>
      <c r="C8" s="433" t="s">
        <v>518</v>
      </c>
      <c r="D8" s="1256" t="s">
        <v>740</v>
      </c>
      <c r="E8" s="1256"/>
      <c r="F8" s="916"/>
      <c r="G8" s="362"/>
      <c r="H8" s="363"/>
      <c r="I8" s="87"/>
    </row>
    <row r="9" spans="1:9" ht="63" customHeight="1" thickBot="1" x14ac:dyDescent="0.3">
      <c r="A9" s="687"/>
      <c r="B9" s="432">
        <f>1+B8</f>
        <v>4</v>
      </c>
      <c r="C9" s="842" t="s">
        <v>612</v>
      </c>
      <c r="D9" s="1261" t="s">
        <v>611</v>
      </c>
      <c r="E9" s="1262"/>
      <c r="F9" s="236"/>
      <c r="G9" s="689"/>
      <c r="H9" s="690"/>
      <c r="I9" s="87"/>
    </row>
    <row r="10" spans="1:9" ht="58.5" customHeight="1" thickBot="1" x14ac:dyDescent="0.3">
      <c r="A10" s="908"/>
      <c r="B10" s="432">
        <f>1+B9</f>
        <v>5</v>
      </c>
      <c r="C10" s="842" t="s">
        <v>731</v>
      </c>
      <c r="D10" s="1261" t="s">
        <v>741</v>
      </c>
      <c r="E10" s="1262"/>
      <c r="F10" s="911"/>
      <c r="G10" s="689"/>
      <c r="H10" s="690"/>
      <c r="I10" s="87"/>
    </row>
    <row r="11" spans="1:9" ht="30.75" thickBot="1" x14ac:dyDescent="0.3">
      <c r="A11" s="1257" t="s">
        <v>293</v>
      </c>
      <c r="B11" s="432">
        <f>1+B10</f>
        <v>6</v>
      </c>
      <c r="C11" s="434" t="s">
        <v>294</v>
      </c>
      <c r="D11" s="434" t="s">
        <v>581</v>
      </c>
      <c r="E11" s="434"/>
      <c r="F11" s="915" t="str">
        <f>+IFERROR(VLOOKUP(F$10, FloodAttenLSLandUse!A$3:O$502, 15),"")</f>
        <v/>
      </c>
      <c r="G11" s="364"/>
      <c r="H11" s="365"/>
      <c r="I11" s="88" t="s">
        <v>27</v>
      </c>
    </row>
    <row r="12" spans="1:9" ht="50.25" customHeight="1" thickBot="1" x14ac:dyDescent="0.3">
      <c r="A12" s="1258"/>
      <c r="B12" s="432">
        <f t="shared" ref="B12:B29" si="0">1+B11</f>
        <v>7</v>
      </c>
      <c r="C12" s="1255" t="s">
        <v>295</v>
      </c>
      <c r="D12" s="1260" t="s">
        <v>739</v>
      </c>
      <c r="E12" s="435" t="s">
        <v>434</v>
      </c>
      <c r="F12" s="915" t="str">
        <f>+IFERROR(VLOOKUP(F$10,FloodAttenLSLandUse!A$3:O$502,11),"")</f>
        <v/>
      </c>
      <c r="G12" s="366" t="str">
        <f>IFERROR(F12*0,"")</f>
        <v/>
      </c>
      <c r="H12" s="367"/>
    </row>
    <row r="13" spans="1:9" ht="45" customHeight="1" thickBot="1" x14ac:dyDescent="0.3">
      <c r="A13" s="1258"/>
      <c r="B13" s="432">
        <f t="shared" si="0"/>
        <v>8</v>
      </c>
      <c r="C13" s="1255"/>
      <c r="D13" s="1260"/>
      <c r="E13" s="435" t="s">
        <v>435</v>
      </c>
      <c r="F13" s="915" t="str">
        <f>+IFERROR(VLOOKUP(F$10, FloodAttenLSLandUse!A$3:O$502, 12),"")</f>
        <v/>
      </c>
      <c r="G13" s="366" t="str">
        <f>IFERROR(0.25*F13,"")</f>
        <v/>
      </c>
      <c r="H13" s="367"/>
    </row>
    <row r="14" spans="1:9" ht="30" customHeight="1" thickBot="1" x14ac:dyDescent="0.3">
      <c r="A14" s="1258"/>
      <c r="B14" s="432">
        <f t="shared" si="0"/>
        <v>9</v>
      </c>
      <c r="C14" s="1255"/>
      <c r="D14" s="1260"/>
      <c r="E14" s="435" t="s">
        <v>436</v>
      </c>
      <c r="F14" s="915" t="str">
        <f>+IFERROR(VLOOKUP(F$10, FloodAttenLSLandUse!A$3:O$502, 13),"")</f>
        <v/>
      </c>
      <c r="G14" s="366" t="str">
        <f>IFERROR(0.5*F14,"")</f>
        <v/>
      </c>
      <c r="H14" s="367"/>
    </row>
    <row r="15" spans="1:9" ht="30" customHeight="1" thickBot="1" x14ac:dyDescent="0.3">
      <c r="A15" s="1258"/>
      <c r="B15" s="432">
        <f t="shared" si="0"/>
        <v>10</v>
      </c>
      <c r="C15" s="1255"/>
      <c r="D15" s="1260"/>
      <c r="E15" s="435" t="s">
        <v>519</v>
      </c>
      <c r="F15" s="915" t="str">
        <f>+IFERROR(VLOOKUP(F$10, FloodAttenLSLandUse!A$3:O$502, 14),"")</f>
        <v/>
      </c>
      <c r="G15" s="366" t="str">
        <f>F15</f>
        <v/>
      </c>
      <c r="H15" s="367"/>
    </row>
    <row r="16" spans="1:9" ht="63" customHeight="1" thickBot="1" x14ac:dyDescent="0.3">
      <c r="A16" s="1258"/>
      <c r="B16" s="432">
        <f t="shared" si="0"/>
        <v>11</v>
      </c>
      <c r="C16" s="436" t="s">
        <v>582</v>
      </c>
      <c r="D16" s="1255" t="s">
        <v>584</v>
      </c>
      <c r="E16" s="1255"/>
      <c r="F16" s="915" t="str">
        <f>+IFERROR(VLOOKUP(F$10, FloodAttenLSLandUse!A$3:S$502, 16),"")</f>
        <v/>
      </c>
      <c r="G16" s="368" t="str">
        <f>+IF(F16="","",IF(F16&gt;500, 4, IF(F16&gt;100, 3, IF(F16&gt;20, 2, 1))))</f>
        <v/>
      </c>
      <c r="H16" s="369"/>
    </row>
    <row r="17" spans="1:8" ht="45.75" thickBot="1" x14ac:dyDescent="0.3">
      <c r="A17" s="1258"/>
      <c r="B17" s="432">
        <f t="shared" si="0"/>
        <v>12</v>
      </c>
      <c r="C17" s="436" t="s">
        <v>583</v>
      </c>
      <c r="D17" s="1255" t="s">
        <v>744</v>
      </c>
      <c r="E17" s="1255"/>
      <c r="F17" s="915" t="str">
        <f>IFERROR(290*(VLOOKUP(F$10, FloodAttenLSLandUse!A$3:S$502, 17)),"")</f>
        <v/>
      </c>
      <c r="G17" s="368" t="str">
        <f>+IF(F17="","",IF(F17&lt;1000,5,IF(F17&lt;2500,3,IF(F17&lt;5000, 2, 1))))</f>
        <v/>
      </c>
      <c r="H17" s="370" t="str">
        <f>+IFERROR(G17*G16,"")</f>
        <v/>
      </c>
    </row>
    <row r="18" spans="1:8" ht="72.75" customHeight="1" thickBot="1" x14ac:dyDescent="0.3">
      <c r="A18" s="1258"/>
      <c r="B18" s="432">
        <f t="shared" si="0"/>
        <v>13</v>
      </c>
      <c r="C18" s="436" t="s">
        <v>585</v>
      </c>
      <c r="D18" s="1255" t="s">
        <v>587</v>
      </c>
      <c r="E18" s="1255"/>
      <c r="F18" s="915" t="str">
        <f>IFERROR(VLOOKUP(F$10, FloodAttenLSLandUse!A$3:S$502, 18),"")</f>
        <v/>
      </c>
      <c r="G18" s="368" t="str">
        <f>IF(F18="","",IF(F18&gt;500, 4, IF(F18&gt;100, 3, IF(F18&gt;20, 2, 1))))</f>
        <v/>
      </c>
      <c r="H18" s="369"/>
    </row>
    <row r="19" spans="1:8" ht="45.75" customHeight="1" thickBot="1" x14ac:dyDescent="0.3">
      <c r="A19" s="1258"/>
      <c r="B19" s="432">
        <f t="shared" si="0"/>
        <v>14</v>
      </c>
      <c r="C19" s="436" t="s">
        <v>586</v>
      </c>
      <c r="D19" s="1255" t="s">
        <v>745</v>
      </c>
      <c r="E19" s="1255"/>
      <c r="F19" s="915" t="str">
        <f>IFERROR(290*(VLOOKUP(F$10, FloodAttenLSLandUse!A$3:S$502, 19)),"")</f>
        <v/>
      </c>
      <c r="G19" s="368" t="str">
        <f>IF(F19="","",IF(F19&lt;1000,5,IF(F19&lt;2500,3,IF(F19&lt;5000, 2, 1))))</f>
        <v/>
      </c>
      <c r="H19" s="370" t="str">
        <f>IF(G19="","",G19*G18)</f>
        <v/>
      </c>
    </row>
    <row r="20" spans="1:8" ht="43.5" customHeight="1" thickBot="1" x14ac:dyDescent="0.3">
      <c r="A20" s="1258"/>
      <c r="B20" s="432">
        <f t="shared" si="0"/>
        <v>15</v>
      </c>
      <c r="C20" s="1255" t="s">
        <v>296</v>
      </c>
      <c r="D20" s="1255" t="s">
        <v>297</v>
      </c>
      <c r="E20" s="431" t="s">
        <v>590</v>
      </c>
      <c r="F20" s="237"/>
      <c r="G20" s="368" t="s">
        <v>27</v>
      </c>
      <c r="H20" s="367"/>
    </row>
    <row r="21" spans="1:8" ht="42" customHeight="1" thickBot="1" x14ac:dyDescent="0.3">
      <c r="A21" s="1258"/>
      <c r="B21" s="432">
        <f t="shared" si="0"/>
        <v>16</v>
      </c>
      <c r="C21" s="1255"/>
      <c r="D21" s="1255"/>
      <c r="E21" s="436" t="s">
        <v>589</v>
      </c>
      <c r="F21" s="237"/>
      <c r="G21" s="368" t="s">
        <v>27</v>
      </c>
      <c r="H21" s="367"/>
    </row>
    <row r="22" spans="1:8" ht="49.5" customHeight="1" thickBot="1" x14ac:dyDescent="0.3">
      <c r="A22" s="1259"/>
      <c r="B22" s="432">
        <f t="shared" si="0"/>
        <v>17</v>
      </c>
      <c r="C22" s="1256"/>
      <c r="D22" s="1256"/>
      <c r="E22" s="437" t="s">
        <v>588</v>
      </c>
      <c r="F22" s="264"/>
      <c r="G22" s="371" t="s">
        <v>27</v>
      </c>
      <c r="H22" s="372"/>
    </row>
    <row r="23" spans="1:8" ht="21.75" customHeight="1" thickBot="1" x14ac:dyDescent="0.3">
      <c r="A23" s="1251" t="s">
        <v>298</v>
      </c>
      <c r="B23" s="432">
        <f t="shared" si="0"/>
        <v>18</v>
      </c>
      <c r="C23" s="438" t="s">
        <v>299</v>
      </c>
      <c r="D23" s="1254" t="s">
        <v>300</v>
      </c>
      <c r="E23" s="1254"/>
      <c r="F23" s="262"/>
      <c r="G23" s="364"/>
      <c r="H23" s="365"/>
    </row>
    <row r="24" spans="1:8" s="82" customFormat="1" ht="21.75" customHeight="1" thickBot="1" x14ac:dyDescent="0.3">
      <c r="A24" s="1252"/>
      <c r="B24" s="432">
        <f t="shared" si="0"/>
        <v>19</v>
      </c>
      <c r="C24" s="439" t="s">
        <v>301</v>
      </c>
      <c r="D24" s="1255" t="s">
        <v>302</v>
      </c>
      <c r="E24" s="1255"/>
      <c r="F24" s="236"/>
      <c r="G24" s="368"/>
      <c r="H24" s="369"/>
    </row>
    <row r="25" spans="1:8" s="82" customFormat="1" ht="21.75" customHeight="1" thickBot="1" x14ac:dyDescent="0.3">
      <c r="A25" s="1252"/>
      <c r="B25" s="432">
        <f t="shared" si="0"/>
        <v>20</v>
      </c>
      <c r="C25" s="439" t="s">
        <v>303</v>
      </c>
      <c r="D25" s="1255" t="s">
        <v>591</v>
      </c>
      <c r="E25" s="1255"/>
      <c r="F25" s="236"/>
      <c r="G25" s="368"/>
      <c r="H25" s="369"/>
    </row>
    <row r="26" spans="1:8" s="82" customFormat="1" ht="42.75" customHeight="1" thickBot="1" x14ac:dyDescent="0.3">
      <c r="A26" s="1252"/>
      <c r="B26" s="432">
        <f t="shared" si="0"/>
        <v>21</v>
      </c>
      <c r="C26" s="439" t="s">
        <v>304</v>
      </c>
      <c r="D26" s="1263" t="s">
        <v>305</v>
      </c>
      <c r="E26" s="1264"/>
      <c r="F26" s="236"/>
      <c r="G26" s="368"/>
      <c r="H26" s="369"/>
    </row>
    <row r="27" spans="1:8" ht="34.5" customHeight="1" thickBot="1" x14ac:dyDescent="0.3">
      <c r="A27" s="1252"/>
      <c r="B27" s="432">
        <f t="shared" si="0"/>
        <v>22</v>
      </c>
      <c r="C27" s="439" t="s">
        <v>306</v>
      </c>
      <c r="D27" s="1255" t="s">
        <v>307</v>
      </c>
      <c r="E27" s="1255"/>
      <c r="F27" s="236"/>
      <c r="G27" s="368"/>
      <c r="H27" s="369"/>
    </row>
    <row r="28" spans="1:8" ht="41.25" customHeight="1" thickBot="1" x14ac:dyDescent="0.3">
      <c r="A28" s="1252"/>
      <c r="B28" s="432">
        <f t="shared" si="0"/>
        <v>23</v>
      </c>
      <c r="C28" s="439" t="s">
        <v>308</v>
      </c>
      <c r="D28" s="1255" t="s">
        <v>309</v>
      </c>
      <c r="E28" s="1255"/>
      <c r="F28" s="236"/>
      <c r="G28" s="368"/>
      <c r="H28" s="369"/>
    </row>
    <row r="29" spans="1:8" ht="30.75" thickBot="1" x14ac:dyDescent="0.3">
      <c r="A29" s="1253"/>
      <c r="B29" s="432">
        <f t="shared" si="0"/>
        <v>24</v>
      </c>
      <c r="C29" s="440" t="s">
        <v>310</v>
      </c>
      <c r="D29" s="1256" t="s">
        <v>311</v>
      </c>
      <c r="E29" s="1256"/>
      <c r="F29" s="263"/>
      <c r="G29" s="371"/>
      <c r="H29" s="373"/>
    </row>
    <row r="37" spans="3:5" x14ac:dyDescent="0.25">
      <c r="C37" s="89"/>
      <c r="E37" s="94"/>
    </row>
    <row r="38" spans="3:5" x14ac:dyDescent="0.25">
      <c r="E38" s="94"/>
    </row>
    <row r="39" spans="3:5" x14ac:dyDescent="0.25">
      <c r="E39" s="94"/>
    </row>
    <row r="40" spans="3:5" x14ac:dyDescent="0.25">
      <c r="E40" s="94"/>
    </row>
    <row r="41" spans="3:5" x14ac:dyDescent="0.25">
      <c r="E41" s="82"/>
    </row>
  </sheetData>
  <mergeCells count="30">
    <mergeCell ref="A23:A29"/>
    <mergeCell ref="D23:E23"/>
    <mergeCell ref="D24:E24"/>
    <mergeCell ref="D25:E25"/>
    <mergeCell ref="D26:E26"/>
    <mergeCell ref="D27:E27"/>
    <mergeCell ref="D28:E28"/>
    <mergeCell ref="D29:E29"/>
    <mergeCell ref="A6:A8"/>
    <mergeCell ref="D6:E6"/>
    <mergeCell ref="D7:E7"/>
    <mergeCell ref="D8:E8"/>
    <mergeCell ref="D17:E17"/>
    <mergeCell ref="A11:A22"/>
    <mergeCell ref="C12:C15"/>
    <mergeCell ref="D12:D15"/>
    <mergeCell ref="D16:E16"/>
    <mergeCell ref="D9:E9"/>
    <mergeCell ref="D18:E18"/>
    <mergeCell ref="D19:E19"/>
    <mergeCell ref="C20:C22"/>
    <mergeCell ref="D20:D22"/>
    <mergeCell ref="D10:E10"/>
    <mergeCell ref="A1:H1"/>
    <mergeCell ref="D5:E5"/>
    <mergeCell ref="G5:H5"/>
    <mergeCell ref="C4:E4"/>
    <mergeCell ref="C2:D2"/>
    <mergeCell ref="C3:D3"/>
    <mergeCell ref="F4:G4"/>
  </mergeCells>
  <hyperlinks>
    <hyperlink ref="I6" display="Google Earth Download"/>
    <hyperlink ref="I7" display="FEMA 100 yr Digital floodmaps KMZ for Google Earth"/>
  </hyperlinks>
  <pageMargins left="0.7" right="0.7" top="0.75" bottom="0.75" header="0.3" footer="0.3"/>
  <pageSetup scale="4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H75"/>
  <sheetViews>
    <sheetView topLeftCell="A6" zoomScale="70" zoomScaleNormal="70" workbookViewId="0">
      <pane xSplit="2" ySplit="1" topLeftCell="C43" activePane="bottomRight" state="frozen"/>
      <selection activeCell="A6" sqref="A6"/>
      <selection pane="topRight" activeCell="C6" sqref="C6"/>
      <selection pane="bottomLeft" activeCell="A7" sqref="A7"/>
      <selection pane="bottomRight" activeCell="H57" sqref="H57"/>
    </sheetView>
  </sheetViews>
  <sheetFormatPr defaultColWidth="9.140625" defaultRowHeight="12.75" x14ac:dyDescent="0.2"/>
  <cols>
    <col min="1" max="1" width="11.140625" style="139" customWidth="1"/>
    <col min="2" max="2" width="14.42578125" style="425" customWidth="1"/>
    <col min="3" max="3" width="80.5703125" style="140" customWidth="1"/>
    <col min="4" max="4" width="67" style="140" customWidth="1"/>
    <col min="5" max="5" width="14.140625" style="270" customWidth="1"/>
    <col min="6" max="6" width="15.5703125" style="270" customWidth="1"/>
    <col min="7" max="7" width="10.85546875" style="270" customWidth="1"/>
    <col min="8" max="8" width="9.140625" style="141" customWidth="1"/>
    <col min="9" max="16384" width="9.140625" style="138"/>
  </cols>
  <sheetData>
    <row r="1" spans="1:8" s="80" customFormat="1" ht="66.75" customHeight="1" x14ac:dyDescent="0.3">
      <c r="A1" s="1265" t="s">
        <v>659</v>
      </c>
      <c r="B1" s="1265"/>
      <c r="C1" s="1265"/>
      <c r="D1" s="1265"/>
      <c r="E1" s="1265"/>
      <c r="F1" s="1265"/>
      <c r="G1" s="1265"/>
      <c r="H1" s="1265"/>
    </row>
    <row r="2" spans="1:8" s="82" customFormat="1" ht="18" customHeight="1" thickBot="1" x14ac:dyDescent="0.3">
      <c r="A2" s="92"/>
      <c r="B2" s="423" t="s">
        <v>65</v>
      </c>
      <c r="C2" s="1248"/>
      <c r="D2" s="1248"/>
      <c r="E2" s="266"/>
      <c r="F2" s="259" t="s">
        <v>75</v>
      </c>
      <c r="G2" s="259"/>
      <c r="H2" s="83"/>
    </row>
    <row r="3" spans="1:8" s="82" customFormat="1" ht="25.5" customHeight="1" thickBot="1" x14ac:dyDescent="0.3">
      <c r="A3" s="92"/>
      <c r="B3" s="423" t="s">
        <v>285</v>
      </c>
      <c r="C3" s="1281"/>
      <c r="D3" s="1249"/>
      <c r="E3" s="267"/>
      <c r="F3" s="259" t="s">
        <v>286</v>
      </c>
      <c r="G3" s="259"/>
      <c r="H3" s="83"/>
    </row>
    <row r="4" spans="1:8" s="82" customFormat="1" ht="50.25" customHeight="1" thickBot="1" x14ac:dyDescent="0.3">
      <c r="A4" s="92"/>
      <c r="B4" s="754" t="s">
        <v>287</v>
      </c>
      <c r="C4" s="1282" t="s">
        <v>537</v>
      </c>
      <c r="D4" s="1282"/>
      <c r="E4" s="815"/>
      <c r="F4" s="259" t="s">
        <v>26</v>
      </c>
      <c r="G4" s="1283"/>
      <c r="H4" s="1283"/>
    </row>
    <row r="5" spans="1:8" s="136" customFormat="1" ht="27" customHeight="1" thickBot="1" x14ac:dyDescent="0.35">
      <c r="A5" s="132"/>
      <c r="B5" s="424"/>
      <c r="C5" s="133"/>
      <c r="D5" s="134" t="s">
        <v>27</v>
      </c>
      <c r="E5" s="268"/>
      <c r="F5" s="269"/>
      <c r="G5" s="269"/>
      <c r="H5" s="135"/>
    </row>
    <row r="6" spans="1:8" s="759" customFormat="1" ht="42" customHeight="1" thickBot="1" x14ac:dyDescent="0.25">
      <c r="A6" s="756" t="s">
        <v>288</v>
      </c>
      <c r="B6" s="756" t="s">
        <v>289</v>
      </c>
      <c r="C6" s="757" t="s">
        <v>30</v>
      </c>
      <c r="D6" s="757" t="s">
        <v>25</v>
      </c>
      <c r="E6" s="758" t="s">
        <v>54</v>
      </c>
      <c r="F6" s="1277" t="s">
        <v>77</v>
      </c>
      <c r="G6" s="1278"/>
      <c r="H6" s="1279"/>
    </row>
    <row r="7" spans="1:8" s="136" customFormat="1" ht="30" customHeight="1" x14ac:dyDescent="0.2">
      <c r="A7" s="1266" t="s">
        <v>688</v>
      </c>
      <c r="B7" s="760">
        <v>1</v>
      </c>
      <c r="C7" s="761" t="s">
        <v>312</v>
      </c>
      <c r="D7" s="761" t="s">
        <v>313</v>
      </c>
      <c r="E7" s="762"/>
      <c r="F7" s="763"/>
      <c r="G7" s="763"/>
      <c r="H7" s="764"/>
    </row>
    <row r="8" spans="1:8" s="136" customFormat="1" ht="37.5" customHeight="1" x14ac:dyDescent="0.25">
      <c r="A8" s="1267"/>
      <c r="B8" s="1275">
        <v>2</v>
      </c>
      <c r="C8" s="1272" t="s">
        <v>593</v>
      </c>
      <c r="D8" s="765" t="s">
        <v>314</v>
      </c>
      <c r="E8" s="766"/>
      <c r="F8" s="767"/>
      <c r="G8" s="767"/>
      <c r="H8" s="768"/>
    </row>
    <row r="9" spans="1:8" s="136" customFormat="1" ht="37.5" customHeight="1" x14ac:dyDescent="0.2">
      <c r="A9" s="1267"/>
      <c r="B9" s="1275"/>
      <c r="C9" s="1273"/>
      <c r="D9" s="853" t="s">
        <v>315</v>
      </c>
      <c r="E9" s="766"/>
      <c r="F9" s="767"/>
      <c r="G9" s="767"/>
      <c r="H9" s="768"/>
    </row>
    <row r="10" spans="1:8" s="137" customFormat="1" ht="37.5" customHeight="1" x14ac:dyDescent="0.25">
      <c r="A10" s="1267"/>
      <c r="B10" s="1275"/>
      <c r="C10" s="1280"/>
      <c r="D10" s="843" t="s">
        <v>592</v>
      </c>
      <c r="E10" s="769"/>
      <c r="F10" s="767" t="str">
        <f>IF(E9="","",(E9/100)*FLOOD_OFFICE!F6*E10)</f>
        <v/>
      </c>
      <c r="G10" s="770"/>
      <c r="H10" s="771"/>
    </row>
    <row r="11" spans="1:8" s="136" customFormat="1" ht="33.75" customHeight="1" x14ac:dyDescent="0.25">
      <c r="A11" s="1267"/>
      <c r="B11" s="1275">
        <f>1+B8</f>
        <v>3</v>
      </c>
      <c r="C11" s="1276" t="s">
        <v>520</v>
      </c>
      <c r="D11" s="765" t="s">
        <v>316</v>
      </c>
      <c r="E11" s="766"/>
      <c r="F11" s="767"/>
      <c r="G11" s="767"/>
      <c r="H11" s="768"/>
    </row>
    <row r="12" spans="1:8" s="136" customFormat="1" ht="33.75" customHeight="1" x14ac:dyDescent="0.25">
      <c r="A12" s="1267"/>
      <c r="B12" s="1275"/>
      <c r="C12" s="1276"/>
      <c r="D12" s="765" t="s">
        <v>315</v>
      </c>
      <c r="E12" s="766"/>
      <c r="F12" s="767"/>
      <c r="G12" s="767"/>
      <c r="H12" s="768"/>
    </row>
    <row r="13" spans="1:8" s="137" customFormat="1" ht="62.25" customHeight="1" x14ac:dyDescent="0.25">
      <c r="A13" s="1267"/>
      <c r="B13" s="1275"/>
      <c r="C13" s="1276"/>
      <c r="D13" s="843" t="s">
        <v>317</v>
      </c>
      <c r="E13" s="769"/>
      <c r="F13" s="767" t="str">
        <f>IF(E12="","",(E12/100)*FLOOD_OFFICE!F6*E13)</f>
        <v/>
      </c>
      <c r="G13" s="770"/>
      <c r="H13" s="771"/>
    </row>
    <row r="14" spans="1:8" s="137" customFormat="1" ht="47.25" customHeight="1" x14ac:dyDescent="0.25">
      <c r="A14" s="1267"/>
      <c r="B14" s="1269">
        <f>1+B11</f>
        <v>4</v>
      </c>
      <c r="C14" s="1272" t="s">
        <v>750</v>
      </c>
      <c r="D14" s="772" t="s">
        <v>319</v>
      </c>
      <c r="E14" s="773"/>
      <c r="F14" s="770" t="str">
        <f>IF(E14="","", IF(E14="y", 1, 0))</f>
        <v/>
      </c>
      <c r="G14" s="770"/>
      <c r="H14" s="771"/>
    </row>
    <row r="15" spans="1:8" s="137" customFormat="1" ht="45" customHeight="1" x14ac:dyDescent="0.25">
      <c r="A15" s="1267"/>
      <c r="B15" s="1270"/>
      <c r="C15" s="1273"/>
      <c r="D15" s="772" t="s">
        <v>320</v>
      </c>
      <c r="E15" s="773"/>
      <c r="F15" s="770" t="str">
        <f>IF(E15="","",IF(E15="y", 0.5, 0))</f>
        <v/>
      </c>
      <c r="G15" s="770"/>
      <c r="H15" s="771"/>
    </row>
    <row r="16" spans="1:8" s="137" customFormat="1" ht="21.75" customHeight="1" x14ac:dyDescent="0.25">
      <c r="A16" s="1267"/>
      <c r="B16" s="1270"/>
      <c r="C16" s="1273"/>
      <c r="D16" s="772" t="s">
        <v>321</v>
      </c>
      <c r="E16" s="773"/>
      <c r="F16" s="770" t="str">
        <f>IF(E16="","",IF(E16="y", 0.5, 0))</f>
        <v/>
      </c>
      <c r="G16" s="770"/>
      <c r="H16" s="771"/>
    </row>
    <row r="17" spans="1:8" s="137" customFormat="1" ht="15" x14ac:dyDescent="0.25">
      <c r="A17" s="1267"/>
      <c r="B17" s="1270"/>
      <c r="C17" s="1273"/>
      <c r="D17" s="772" t="s">
        <v>322</v>
      </c>
      <c r="E17" s="773"/>
      <c r="F17" s="770" t="str">
        <f>IF(E17="","",IF(E17="y", 0, 0))</f>
        <v/>
      </c>
      <c r="G17" s="770"/>
      <c r="H17" s="771"/>
    </row>
    <row r="18" spans="1:8" s="137" customFormat="1" ht="36.75" customHeight="1" x14ac:dyDescent="0.2">
      <c r="A18" s="1267"/>
      <c r="B18" s="1270"/>
      <c r="C18" s="1273"/>
      <c r="D18" s="845" t="s">
        <v>323</v>
      </c>
      <c r="E18" s="773"/>
      <c r="F18" s="770" t="str">
        <f>IF(E18="","",IF(E18="y", 0, 0))</f>
        <v/>
      </c>
      <c r="G18" s="770"/>
      <c r="H18" s="771"/>
    </row>
    <row r="19" spans="1:8" s="137" customFormat="1" ht="15" x14ac:dyDescent="0.2">
      <c r="A19" s="1267"/>
      <c r="B19" s="1270"/>
      <c r="C19" s="1273"/>
      <c r="D19" s="845" t="s">
        <v>324</v>
      </c>
      <c r="E19" s="773"/>
      <c r="F19" s="770" t="str">
        <f>IF(E19="","",F(E19="y", 1, 0))</f>
        <v/>
      </c>
      <c r="G19" s="770"/>
      <c r="H19" s="771"/>
    </row>
    <row r="20" spans="1:8" s="137" customFormat="1" ht="15.75" thickBot="1" x14ac:dyDescent="0.3">
      <c r="A20" s="1268"/>
      <c r="B20" s="1271"/>
      <c r="C20" s="1274"/>
      <c r="D20" s="846" t="s">
        <v>325</v>
      </c>
      <c r="E20" s="844"/>
      <c r="F20" s="774">
        <f>SUM(F14:F19)</f>
        <v>0</v>
      </c>
      <c r="G20" s="775"/>
      <c r="H20" s="776"/>
    </row>
    <row r="21" spans="1:8" s="137" customFormat="1" ht="18.75" customHeight="1" x14ac:dyDescent="0.25">
      <c r="A21" s="1284" t="s">
        <v>521</v>
      </c>
      <c r="B21" s="1287">
        <f>1+B14</f>
        <v>5</v>
      </c>
      <c r="C21" s="1289" t="s">
        <v>751</v>
      </c>
      <c r="D21" s="854" t="s">
        <v>327</v>
      </c>
      <c r="E21" s="777"/>
      <c r="F21" s="778"/>
      <c r="G21" s="778"/>
      <c r="H21" s="779"/>
    </row>
    <row r="22" spans="1:8" s="137" customFormat="1" ht="15" x14ac:dyDescent="0.2">
      <c r="A22" s="1285"/>
      <c r="B22" s="1288"/>
      <c r="C22" s="1290"/>
      <c r="D22" s="780" t="s">
        <v>328</v>
      </c>
      <c r="E22" s="781"/>
      <c r="F22" s="770"/>
      <c r="G22" s="770"/>
      <c r="H22" s="771"/>
    </row>
    <row r="23" spans="1:8" s="137" customFormat="1" ht="36.75" customHeight="1" x14ac:dyDescent="0.2">
      <c r="A23" s="1285"/>
      <c r="B23" s="1288"/>
      <c r="C23" s="1291"/>
      <c r="D23" s="780" t="s">
        <v>329</v>
      </c>
      <c r="E23" s="781"/>
      <c r="F23" s="782"/>
      <c r="G23" s="770"/>
      <c r="H23" s="771"/>
    </row>
    <row r="24" spans="1:8" s="137" customFormat="1" ht="15" x14ac:dyDescent="0.2">
      <c r="A24" s="1285"/>
      <c r="B24" s="783">
        <f>+B21+1</f>
        <v>6</v>
      </c>
      <c r="C24" s="784" t="s">
        <v>594</v>
      </c>
      <c r="D24" s="780"/>
      <c r="E24" s="781"/>
      <c r="F24" s="782" t="str">
        <f>IFERROR(((E21-E22)/E24),"")</f>
        <v/>
      </c>
      <c r="G24" s="770"/>
      <c r="H24" s="771"/>
    </row>
    <row r="25" spans="1:8" s="137" customFormat="1" ht="15" x14ac:dyDescent="0.2">
      <c r="A25" s="1285"/>
      <c r="B25" s="783">
        <f>+B24+1</f>
        <v>7</v>
      </c>
      <c r="C25" s="784" t="s">
        <v>595</v>
      </c>
      <c r="D25" s="780"/>
      <c r="E25" s="781"/>
      <c r="F25" s="782" t="str">
        <f>IFERROR((E22-E23)/E25,"")</f>
        <v/>
      </c>
      <c r="G25" s="770"/>
      <c r="H25" s="771"/>
    </row>
    <row r="26" spans="1:8" s="137" customFormat="1" ht="30" x14ac:dyDescent="0.25">
      <c r="A26" s="1285"/>
      <c r="B26" s="785">
        <f>+B25+1</f>
        <v>8</v>
      </c>
      <c r="C26" s="786" t="s">
        <v>598</v>
      </c>
      <c r="D26" s="787"/>
      <c r="E26" s="788" t="str">
        <f>IFERROR((E21-E23)/(E24+E25),"")</f>
        <v/>
      </c>
      <c r="F26" s="789"/>
      <c r="G26" s="770"/>
      <c r="H26" s="771"/>
    </row>
    <row r="27" spans="1:8" s="137" customFormat="1" ht="15" customHeight="1" x14ac:dyDescent="0.2">
      <c r="A27" s="1285"/>
      <c r="B27" s="1292">
        <f>1+B26</f>
        <v>9</v>
      </c>
      <c r="C27" s="1272" t="s">
        <v>597</v>
      </c>
      <c r="D27" s="780" t="s">
        <v>327</v>
      </c>
      <c r="E27" s="790"/>
      <c r="F27" s="770" t="str">
        <f>+IF(E21="","",(E21-E27))</f>
        <v/>
      </c>
      <c r="G27" s="770"/>
      <c r="H27" s="771"/>
    </row>
    <row r="28" spans="1:8" s="137" customFormat="1" ht="15" x14ac:dyDescent="0.2">
      <c r="A28" s="1285"/>
      <c r="B28" s="1293"/>
      <c r="C28" s="1273"/>
      <c r="D28" s="780" t="s">
        <v>328</v>
      </c>
      <c r="E28" s="790"/>
      <c r="F28" s="770" t="str">
        <f>IF(E22="","",(E22-E28))</f>
        <v/>
      </c>
      <c r="G28" s="770"/>
      <c r="H28" s="771"/>
    </row>
    <row r="29" spans="1:8" s="137" customFormat="1" ht="15" x14ac:dyDescent="0.2">
      <c r="A29" s="1285"/>
      <c r="B29" s="1293"/>
      <c r="C29" s="1273"/>
      <c r="D29" s="780" t="s">
        <v>329</v>
      </c>
      <c r="E29" s="790"/>
      <c r="F29" s="770" t="str">
        <f>IF(E23="","",(E23-E29))</f>
        <v/>
      </c>
      <c r="G29" s="770"/>
      <c r="H29" s="771"/>
    </row>
    <row r="30" spans="1:8" s="137" customFormat="1" ht="18.75" customHeight="1" x14ac:dyDescent="0.2">
      <c r="A30" s="1285"/>
      <c r="B30" s="1294">
        <f>B27+1</f>
        <v>10</v>
      </c>
      <c r="C30" s="1272" t="s">
        <v>596</v>
      </c>
      <c r="D30" s="780" t="s">
        <v>327</v>
      </c>
      <c r="E30" s="781"/>
      <c r="F30" s="770"/>
      <c r="G30" s="770"/>
      <c r="H30" s="771"/>
    </row>
    <row r="31" spans="1:8" s="137" customFormat="1" ht="15" x14ac:dyDescent="0.2">
      <c r="A31" s="1285"/>
      <c r="B31" s="1295"/>
      <c r="C31" s="1273"/>
      <c r="D31" s="780" t="s">
        <v>328</v>
      </c>
      <c r="E31" s="781"/>
      <c r="F31" s="770"/>
      <c r="G31" s="770"/>
      <c r="H31" s="771"/>
    </row>
    <row r="32" spans="1:8" s="137" customFormat="1" ht="15" x14ac:dyDescent="0.2">
      <c r="A32" s="1285"/>
      <c r="B32" s="1296"/>
      <c r="C32" s="1280"/>
      <c r="D32" s="780" t="s">
        <v>329</v>
      </c>
      <c r="E32" s="781"/>
      <c r="F32" s="770" t="str">
        <f>+IFERROR(AVERAGE(E30:E32),"")</f>
        <v/>
      </c>
      <c r="G32" s="770"/>
      <c r="H32" s="771"/>
    </row>
    <row r="33" spans="1:8" s="137" customFormat="1" ht="15.75" thickBot="1" x14ac:dyDescent="0.25">
      <c r="A33" s="1286"/>
      <c r="B33" s="791">
        <f>B30+1</f>
        <v>11</v>
      </c>
      <c r="C33" s="792" t="s">
        <v>621</v>
      </c>
      <c r="D33" s="839" t="s">
        <v>522</v>
      </c>
      <c r="E33" s="793" t="str">
        <f>IFERROR((AVERAGE(E30:E32))/(AVERAGE(E27:E29)),"")</f>
        <v/>
      </c>
      <c r="F33" s="775"/>
      <c r="G33" s="775"/>
      <c r="H33" s="776"/>
    </row>
    <row r="34" spans="1:8" ht="15" customHeight="1" x14ac:dyDescent="0.2">
      <c r="A34" s="1285" t="s">
        <v>332</v>
      </c>
      <c r="B34" s="794">
        <f>B33+1</f>
        <v>12</v>
      </c>
      <c r="C34" s="1291" t="s">
        <v>689</v>
      </c>
      <c r="D34" s="1300"/>
      <c r="E34" s="847"/>
      <c r="F34" s="795" t="str">
        <f>IFERROR((E34/FLOOD_OFFICE!F7)*100,"")</f>
        <v/>
      </c>
      <c r="G34" s="795"/>
      <c r="H34" s="796"/>
    </row>
    <row r="35" spans="1:8" ht="15" x14ac:dyDescent="0.2">
      <c r="A35" s="1285"/>
      <c r="B35" s="797">
        <f>1+B34</f>
        <v>13</v>
      </c>
      <c r="C35" s="1301" t="s">
        <v>690</v>
      </c>
      <c r="D35" s="1302"/>
      <c r="E35" s="790"/>
      <c r="F35" s="770" t="str">
        <f>IFERROR((E35/FLOOD_OFFICE!F7)*100,"")</f>
        <v/>
      </c>
      <c r="G35" s="770"/>
      <c r="H35" s="771"/>
    </row>
    <row r="36" spans="1:8" s="137" customFormat="1" ht="18.75" customHeight="1" x14ac:dyDescent="0.2">
      <c r="A36" s="1285"/>
      <c r="B36" s="1295">
        <f>1+B35</f>
        <v>14</v>
      </c>
      <c r="C36" s="1273" t="s">
        <v>599</v>
      </c>
      <c r="D36" s="798" t="s">
        <v>600</v>
      </c>
      <c r="E36" s="799"/>
      <c r="F36" s="795"/>
      <c r="G36" s="795"/>
      <c r="H36" s="796"/>
    </row>
    <row r="37" spans="1:8" s="137" customFormat="1" ht="39" customHeight="1" x14ac:dyDescent="0.2">
      <c r="A37" s="1285"/>
      <c r="B37" s="1296"/>
      <c r="C37" s="1280"/>
      <c r="D37" s="780" t="s">
        <v>601</v>
      </c>
      <c r="E37" s="800"/>
      <c r="F37" s="770"/>
      <c r="G37" s="770"/>
      <c r="H37" s="771"/>
    </row>
    <row r="38" spans="1:8" s="137" customFormat="1" ht="15" x14ac:dyDescent="0.2">
      <c r="A38" s="1285"/>
      <c r="B38" s="797">
        <f>1+B36</f>
        <v>15</v>
      </c>
      <c r="C38" s="1301" t="s">
        <v>523</v>
      </c>
      <c r="D38" s="1302"/>
      <c r="E38" s="767">
        <f>+VEG_DATA!S326</f>
        <v>0</v>
      </c>
      <c r="F38" s="770"/>
      <c r="G38" s="770"/>
      <c r="H38" s="771"/>
    </row>
    <row r="39" spans="1:8" s="137" customFormat="1" ht="18.75" customHeight="1" x14ac:dyDescent="0.2">
      <c r="A39" s="1285"/>
      <c r="B39" s="1294">
        <f>1+B38</f>
        <v>16</v>
      </c>
      <c r="C39" s="1272" t="s">
        <v>334</v>
      </c>
      <c r="D39" s="780" t="s">
        <v>327</v>
      </c>
      <c r="E39" s="801"/>
      <c r="F39" s="770" t="str">
        <f>IFERROR((E39-F27),"")</f>
        <v/>
      </c>
      <c r="G39" s="770" t="str">
        <f>IF(E39="","",E39-E21)</f>
        <v/>
      </c>
      <c r="H39" s="771"/>
    </row>
    <row r="40" spans="1:8" s="137" customFormat="1" ht="15" x14ac:dyDescent="0.2">
      <c r="A40" s="1285"/>
      <c r="B40" s="1295"/>
      <c r="C40" s="1273"/>
      <c r="D40" s="780" t="s">
        <v>328</v>
      </c>
      <c r="E40" s="801"/>
      <c r="F40" s="770" t="str">
        <f>IFERROR(E40-F28,"")</f>
        <v/>
      </c>
      <c r="G40" s="770" t="str">
        <f>IF(E40="","",E40-E22)</f>
        <v/>
      </c>
      <c r="H40" s="771"/>
    </row>
    <row r="41" spans="1:8" s="137" customFormat="1" ht="15" x14ac:dyDescent="0.2">
      <c r="A41" s="1285"/>
      <c r="B41" s="1295"/>
      <c r="C41" s="1273"/>
      <c r="D41" s="780" t="s">
        <v>329</v>
      </c>
      <c r="E41" s="801"/>
      <c r="F41" s="770" t="str">
        <f>IFERROR(E41-F29,"")</f>
        <v/>
      </c>
      <c r="G41" s="770" t="str">
        <f>IF(E41="","",E41-E23)</f>
        <v/>
      </c>
      <c r="H41" s="771"/>
    </row>
    <row r="42" spans="1:8" s="137" customFormat="1" ht="15" x14ac:dyDescent="0.2">
      <c r="A42" s="1285"/>
      <c r="B42" s="1296"/>
      <c r="C42" s="1280"/>
      <c r="D42" s="787" t="s">
        <v>602</v>
      </c>
      <c r="E42" s="767"/>
      <c r="F42" s="770" t="str">
        <f>+IFERROR(AVERAGE(F39:F41),"")</f>
        <v/>
      </c>
      <c r="G42" s="770" t="str">
        <f>IF(G39="","",AVERAGE(G39:G41))</f>
        <v/>
      </c>
      <c r="H42" s="771"/>
    </row>
    <row r="43" spans="1:8" s="137" customFormat="1" ht="18.75" customHeight="1" x14ac:dyDescent="0.2">
      <c r="A43" s="1285"/>
      <c r="B43" s="1294">
        <f>B39+1</f>
        <v>17</v>
      </c>
      <c r="C43" s="1297" t="s">
        <v>641</v>
      </c>
      <c r="D43" s="838" t="s">
        <v>605</v>
      </c>
      <c r="E43" s="801"/>
      <c r="F43" s="770"/>
      <c r="G43" s="770"/>
      <c r="H43" s="771"/>
    </row>
    <row r="44" spans="1:8" s="137" customFormat="1" ht="15" x14ac:dyDescent="0.2">
      <c r="A44" s="1285"/>
      <c r="B44" s="1295"/>
      <c r="C44" s="1298"/>
      <c r="D44" s="838" t="s">
        <v>606</v>
      </c>
      <c r="E44" s="801"/>
      <c r="F44" s="770"/>
      <c r="G44" s="770"/>
      <c r="H44" s="771"/>
    </row>
    <row r="45" spans="1:8" s="137" customFormat="1" ht="15" x14ac:dyDescent="0.2">
      <c r="A45" s="1285"/>
      <c r="B45" s="1295"/>
      <c r="C45" s="1298"/>
      <c r="D45" s="838" t="s">
        <v>607</v>
      </c>
      <c r="E45" s="801"/>
      <c r="F45" s="770"/>
      <c r="G45" s="770"/>
      <c r="H45" s="771"/>
    </row>
    <row r="46" spans="1:8" s="137" customFormat="1" ht="15" x14ac:dyDescent="0.2">
      <c r="A46" s="1285"/>
      <c r="B46" s="1295"/>
      <c r="C46" s="1298"/>
      <c r="D46" s="838" t="s">
        <v>608</v>
      </c>
      <c r="E46" s="801"/>
      <c r="F46" s="770"/>
      <c r="G46" s="770"/>
      <c r="H46" s="771"/>
    </row>
    <row r="47" spans="1:8" s="137" customFormat="1" ht="15" x14ac:dyDescent="0.2">
      <c r="A47" s="1285"/>
      <c r="B47" s="1295"/>
      <c r="C47" s="1298"/>
      <c r="D47" s="838" t="s">
        <v>609</v>
      </c>
      <c r="E47" s="801"/>
      <c r="F47" s="770"/>
      <c r="G47" s="770"/>
      <c r="H47" s="771"/>
    </row>
    <row r="48" spans="1:8" s="137" customFormat="1" ht="15" x14ac:dyDescent="0.2">
      <c r="A48" s="1285"/>
      <c r="B48" s="1295"/>
      <c r="C48" s="1298"/>
      <c r="D48" s="838" t="s">
        <v>610</v>
      </c>
      <c r="E48" s="801"/>
      <c r="F48" s="770"/>
      <c r="G48" s="770"/>
      <c r="H48" s="771"/>
    </row>
    <row r="49" spans="1:8" s="137" customFormat="1" ht="15" x14ac:dyDescent="0.2">
      <c r="A49" s="1285"/>
      <c r="B49" s="1295"/>
      <c r="C49" s="1299"/>
      <c r="D49" s="838" t="s">
        <v>524</v>
      </c>
      <c r="E49" s="802">
        <f>AVERAGE((E43+E46),(E44+E47),(E45+E48))</f>
        <v>0</v>
      </c>
      <c r="F49" s="770"/>
      <c r="G49" s="803"/>
      <c r="H49" s="771"/>
    </row>
    <row r="50" spans="1:8" s="137" customFormat="1" ht="15" x14ac:dyDescent="0.2">
      <c r="A50" s="1285"/>
      <c r="B50" s="1296"/>
      <c r="C50" s="804" t="s">
        <v>642</v>
      </c>
      <c r="D50" s="787" t="s">
        <v>525</v>
      </c>
      <c r="E50" s="767" t="str">
        <f>IFERROR(((E49+F32)/F32), "")</f>
        <v/>
      </c>
      <c r="F50" s="770"/>
      <c r="G50" s="803"/>
      <c r="H50" s="771"/>
    </row>
    <row r="51" spans="1:8" s="137" customFormat="1" ht="33" customHeight="1" x14ac:dyDescent="0.2">
      <c r="A51" s="1285"/>
      <c r="B51" s="805">
        <f>B43+1</f>
        <v>18</v>
      </c>
      <c r="C51" s="855" t="s">
        <v>753</v>
      </c>
      <c r="D51" s="856" t="s">
        <v>691</v>
      </c>
      <c r="E51" s="801"/>
      <c r="F51" s="770"/>
      <c r="G51" s="770"/>
      <c r="H51" s="771"/>
    </row>
    <row r="52" spans="1:8" s="137" customFormat="1" ht="18.75" customHeight="1" x14ac:dyDescent="0.2">
      <c r="A52" s="1285"/>
      <c r="B52" s="805">
        <f>1+B51</f>
        <v>19</v>
      </c>
      <c r="C52" s="1303" t="s">
        <v>335</v>
      </c>
      <c r="D52" s="1304"/>
      <c r="E52" s="806" t="str">
        <f>IFERROR(((+(E39-E41)/E51)*100),"")</f>
        <v/>
      </c>
      <c r="F52" s="788"/>
      <c r="G52" s="770"/>
      <c r="H52" s="771"/>
    </row>
    <row r="53" spans="1:8" s="137" customFormat="1" ht="21.75" customHeight="1" x14ac:dyDescent="0.2">
      <c r="A53" s="1285"/>
      <c r="B53" s="1294">
        <f>1+B52</f>
        <v>20</v>
      </c>
      <c r="C53" s="1272" t="s">
        <v>336</v>
      </c>
      <c r="D53" s="807" t="s">
        <v>526</v>
      </c>
      <c r="E53" s="800"/>
      <c r="F53" s="770"/>
      <c r="G53" s="770"/>
      <c r="H53" s="771"/>
    </row>
    <row r="54" spans="1:8" s="137" customFormat="1" ht="21.75" customHeight="1" x14ac:dyDescent="0.2">
      <c r="A54" s="1285"/>
      <c r="B54" s="1296"/>
      <c r="C54" s="1280"/>
      <c r="D54" s="807" t="s">
        <v>337</v>
      </c>
      <c r="E54" s="800"/>
      <c r="F54" s="767"/>
      <c r="G54" s="770"/>
      <c r="H54" s="771"/>
    </row>
    <row r="55" spans="1:8" s="137" customFormat="1" ht="38.25" customHeight="1" x14ac:dyDescent="0.2">
      <c r="A55" s="1285"/>
      <c r="B55" s="1305">
        <f>1+B53</f>
        <v>21</v>
      </c>
      <c r="C55" s="1297" t="s">
        <v>338</v>
      </c>
      <c r="D55" s="808" t="s">
        <v>339</v>
      </c>
      <c r="E55" s="767"/>
      <c r="F55" s="770"/>
      <c r="G55" s="770">
        <f>VEG_DATA!G314</f>
        <v>0</v>
      </c>
      <c r="H55" s="809"/>
    </row>
    <row r="56" spans="1:8" s="137" customFormat="1" ht="15" x14ac:dyDescent="0.2">
      <c r="A56" s="1285"/>
      <c r="B56" s="1306"/>
      <c r="C56" s="1298"/>
      <c r="D56" s="808" t="s">
        <v>340</v>
      </c>
      <c r="E56" s="767"/>
      <c r="F56" s="770"/>
      <c r="G56" s="770">
        <f>VEG_DATA!G315</f>
        <v>0</v>
      </c>
      <c r="H56" s="809"/>
    </row>
    <row r="57" spans="1:8" s="137" customFormat="1" ht="15.75" thickBot="1" x14ac:dyDescent="0.25">
      <c r="A57" s="1286"/>
      <c r="B57" s="1307"/>
      <c r="C57" s="1308"/>
      <c r="D57" s="810" t="s">
        <v>341</v>
      </c>
      <c r="E57" s="767"/>
      <c r="F57" s="770"/>
      <c r="G57" s="770">
        <f>VEG_DATA!G316</f>
        <v>0</v>
      </c>
      <c r="H57" s="688">
        <f>SUM(G56:G57)/100</f>
        <v>0</v>
      </c>
    </row>
    <row r="58" spans="1:8" s="137" customFormat="1" ht="69" customHeight="1" x14ac:dyDescent="0.2">
      <c r="A58" s="1284" t="s">
        <v>342</v>
      </c>
      <c r="B58" s="811">
        <f>1+B55</f>
        <v>22</v>
      </c>
      <c r="C58" s="1313" t="s">
        <v>343</v>
      </c>
      <c r="D58" s="1314"/>
      <c r="E58" s="812"/>
      <c r="F58" s="778"/>
      <c r="G58" s="778"/>
      <c r="H58" s="779"/>
    </row>
    <row r="59" spans="1:8" s="137" customFormat="1" ht="27" customHeight="1" x14ac:dyDescent="0.2">
      <c r="A59" s="1285"/>
      <c r="B59" s="797">
        <f>1+B58</f>
        <v>23</v>
      </c>
      <c r="C59" s="1276" t="s">
        <v>603</v>
      </c>
      <c r="D59" s="1276"/>
      <c r="E59" s="767">
        <f>VEG_DATA!S327</f>
        <v>0</v>
      </c>
      <c r="F59" s="770"/>
      <c r="G59" s="770"/>
      <c r="H59" s="771"/>
    </row>
    <row r="60" spans="1:8" s="137" customFormat="1" ht="15" customHeight="1" x14ac:dyDescent="0.2">
      <c r="A60" s="1285"/>
      <c r="B60" s="1315">
        <f>1+B59</f>
        <v>24</v>
      </c>
      <c r="C60" s="1276" t="s">
        <v>345</v>
      </c>
      <c r="D60" s="780" t="s">
        <v>327</v>
      </c>
      <c r="E60" s="800"/>
      <c r="F60" s="770" t="str">
        <f>IFERROR(F27+E60,"")</f>
        <v/>
      </c>
      <c r="G60" s="770"/>
      <c r="H60" s="771"/>
    </row>
    <row r="61" spans="1:8" s="137" customFormat="1" ht="15" x14ac:dyDescent="0.2">
      <c r="A61" s="1285"/>
      <c r="B61" s="1315"/>
      <c r="C61" s="1276"/>
      <c r="D61" s="780" t="s">
        <v>328</v>
      </c>
      <c r="E61" s="800"/>
      <c r="F61" s="770" t="str">
        <f>IFERROR((E61+F28),"")</f>
        <v/>
      </c>
      <c r="G61" s="770"/>
      <c r="H61" s="771"/>
    </row>
    <row r="62" spans="1:8" s="137" customFormat="1" ht="15" x14ac:dyDescent="0.2">
      <c r="A62" s="1285"/>
      <c r="B62" s="1315"/>
      <c r="C62" s="1276"/>
      <c r="D62" s="780" t="s">
        <v>329</v>
      </c>
      <c r="E62" s="800"/>
      <c r="F62" s="770" t="str">
        <f>IFERROR(F29+E62,"")</f>
        <v/>
      </c>
      <c r="G62" s="770"/>
      <c r="H62" s="771"/>
    </row>
    <row r="63" spans="1:8" s="137" customFormat="1" ht="27.75" customHeight="1" x14ac:dyDescent="0.2">
      <c r="A63" s="1285"/>
      <c r="B63" s="1315">
        <f>1+B60</f>
        <v>25</v>
      </c>
      <c r="C63" s="1316" t="s">
        <v>346</v>
      </c>
      <c r="D63" s="838" t="s">
        <v>327</v>
      </c>
      <c r="E63" s="800"/>
      <c r="F63" s="770" t="str">
        <f>IFERROR(F60-E63,"")</f>
        <v/>
      </c>
      <c r="G63" s="770" t="str">
        <f>IFERROR(F63-E21,"")</f>
        <v/>
      </c>
      <c r="H63" s="771"/>
    </row>
    <row r="64" spans="1:8" s="137" customFormat="1" ht="27.75" customHeight="1" x14ac:dyDescent="0.2">
      <c r="A64" s="1285"/>
      <c r="B64" s="1315"/>
      <c r="C64" s="1316"/>
      <c r="D64" s="838" t="s">
        <v>328</v>
      </c>
      <c r="E64" s="800"/>
      <c r="F64" s="770" t="str">
        <f>IFERROR(F61-E64,"")</f>
        <v/>
      </c>
      <c r="G64" s="770" t="str">
        <f>IFERROR(F64-E22,"")</f>
        <v/>
      </c>
      <c r="H64" s="771"/>
    </row>
    <row r="65" spans="1:8" s="137" customFormat="1" ht="27.75" customHeight="1" x14ac:dyDescent="0.2">
      <c r="A65" s="1285"/>
      <c r="B65" s="1315"/>
      <c r="C65" s="1316"/>
      <c r="D65" s="838" t="s">
        <v>329</v>
      </c>
      <c r="E65" s="800"/>
      <c r="F65" s="770" t="str">
        <f>IFERROR(F62-E65,"")</f>
        <v/>
      </c>
      <c r="G65" s="770" t="str">
        <f>IFERROR(F65-E23,"")</f>
        <v/>
      </c>
      <c r="H65" s="771"/>
    </row>
    <row r="66" spans="1:8" s="137" customFormat="1" ht="15" x14ac:dyDescent="0.2">
      <c r="A66" s="1285"/>
      <c r="B66" s="1315"/>
      <c r="C66" s="1316"/>
      <c r="D66" s="838" t="s">
        <v>604</v>
      </c>
      <c r="E66" s="767"/>
      <c r="F66" s="770"/>
      <c r="G66" s="767" t="str">
        <f>+IFERROR(AVERAGE(G63:G65),"")</f>
        <v/>
      </c>
      <c r="H66" s="771"/>
    </row>
    <row r="67" spans="1:8" s="137" customFormat="1" ht="30" customHeight="1" x14ac:dyDescent="0.2">
      <c r="A67" s="1285"/>
      <c r="B67" s="797">
        <f>+B63+1</f>
        <v>26</v>
      </c>
      <c r="C67" s="859" t="s">
        <v>347</v>
      </c>
      <c r="D67" s="856" t="s">
        <v>691</v>
      </c>
      <c r="E67" s="800"/>
      <c r="F67" s="770"/>
      <c r="G67" s="770"/>
      <c r="H67" s="771"/>
    </row>
    <row r="68" spans="1:8" s="137" customFormat="1" ht="15" x14ac:dyDescent="0.2">
      <c r="A68" s="1285"/>
      <c r="B68" s="805">
        <f>1+B67</f>
        <v>27</v>
      </c>
      <c r="C68" s="1316" t="s">
        <v>348</v>
      </c>
      <c r="D68" s="1316"/>
      <c r="E68" s="767" t="str">
        <f>+IFERROR(((F63-F65)/E67),"")</f>
        <v/>
      </c>
      <c r="F68" s="767" t="s">
        <v>27</v>
      </c>
      <c r="G68" s="770"/>
      <c r="H68" s="770"/>
    </row>
    <row r="69" spans="1:8" ht="21.75" customHeight="1" x14ac:dyDescent="0.2">
      <c r="A69" s="1285"/>
      <c r="B69" s="1305">
        <f>1+B68</f>
        <v>28</v>
      </c>
      <c r="C69" s="1297" t="s">
        <v>336</v>
      </c>
      <c r="D69" s="808" t="s">
        <v>527</v>
      </c>
      <c r="E69" s="800"/>
      <c r="F69" s="770"/>
      <c r="G69" s="770"/>
      <c r="H69" s="771"/>
    </row>
    <row r="70" spans="1:8" ht="23.25" customHeight="1" x14ac:dyDescent="0.2">
      <c r="A70" s="1285"/>
      <c r="B70" s="1317"/>
      <c r="C70" s="1299"/>
      <c r="D70" s="808" t="s">
        <v>337</v>
      </c>
      <c r="E70" s="800"/>
      <c r="F70" s="767"/>
      <c r="G70" s="770"/>
      <c r="H70" s="771"/>
    </row>
    <row r="71" spans="1:8" ht="15" x14ac:dyDescent="0.2">
      <c r="A71" s="1285"/>
      <c r="B71" s="1309">
        <f>1+B69</f>
        <v>29</v>
      </c>
      <c r="C71" s="1311" t="s">
        <v>349</v>
      </c>
      <c r="D71" s="808" t="s">
        <v>339</v>
      </c>
      <c r="E71" s="767"/>
      <c r="F71" s="770"/>
      <c r="G71" s="770">
        <f>VEG_DATA!H314</f>
        <v>0</v>
      </c>
      <c r="H71" s="809"/>
    </row>
    <row r="72" spans="1:8" ht="15" x14ac:dyDescent="0.2">
      <c r="A72" s="1285"/>
      <c r="B72" s="1309"/>
      <c r="C72" s="1311"/>
      <c r="D72" s="808" t="s">
        <v>340</v>
      </c>
      <c r="E72" s="767"/>
      <c r="F72" s="770"/>
      <c r="G72" s="770">
        <f>VEG_DATA!H315</f>
        <v>0</v>
      </c>
      <c r="H72" s="809"/>
    </row>
    <row r="73" spans="1:8" ht="15.75" thickBot="1" x14ac:dyDescent="0.25">
      <c r="A73" s="1286"/>
      <c r="B73" s="1310"/>
      <c r="C73" s="1312"/>
      <c r="D73" s="813" t="s">
        <v>341</v>
      </c>
      <c r="E73" s="767"/>
      <c r="F73" s="770"/>
      <c r="G73" s="770">
        <f>VEG_DATA!H316</f>
        <v>0</v>
      </c>
      <c r="H73" s="814">
        <f>SUM(G72:G73)</f>
        <v>0</v>
      </c>
    </row>
    <row r="74" spans="1:8" x14ac:dyDescent="0.2">
      <c r="C74" s="140" t="s">
        <v>27</v>
      </c>
    </row>
    <row r="75" spans="1:8" x14ac:dyDescent="0.2">
      <c r="C75" s="138"/>
      <c r="D75" s="138"/>
    </row>
  </sheetData>
  <mergeCells count="47">
    <mergeCell ref="B71:B73"/>
    <mergeCell ref="C71:C73"/>
    <mergeCell ref="A58:A73"/>
    <mergeCell ref="C58:D58"/>
    <mergeCell ref="C59:D59"/>
    <mergeCell ref="B60:B62"/>
    <mergeCell ref="C60:C62"/>
    <mergeCell ref="B63:B66"/>
    <mergeCell ref="C63:C66"/>
    <mergeCell ref="C68:D68"/>
    <mergeCell ref="B69:B70"/>
    <mergeCell ref="C69:C70"/>
    <mergeCell ref="B43:B50"/>
    <mergeCell ref="C43:C49"/>
    <mergeCell ref="A34:A57"/>
    <mergeCell ref="C34:D34"/>
    <mergeCell ref="C35:D35"/>
    <mergeCell ref="B36:B37"/>
    <mergeCell ref="C36:C37"/>
    <mergeCell ref="C38:D38"/>
    <mergeCell ref="B39:B42"/>
    <mergeCell ref="C39:C42"/>
    <mergeCell ref="C52:D52"/>
    <mergeCell ref="B53:B54"/>
    <mergeCell ref="C53:C54"/>
    <mergeCell ref="B55:B57"/>
    <mergeCell ref="C55:C57"/>
    <mergeCell ref="A21:A33"/>
    <mergeCell ref="B21:B23"/>
    <mergeCell ref="C21:C23"/>
    <mergeCell ref="B27:B29"/>
    <mergeCell ref="C27:C29"/>
    <mergeCell ref="B30:B32"/>
    <mergeCell ref="C30:C32"/>
    <mergeCell ref="A1:H1"/>
    <mergeCell ref="A7:A20"/>
    <mergeCell ref="B14:B20"/>
    <mergeCell ref="C14:C20"/>
    <mergeCell ref="C2:D2"/>
    <mergeCell ref="B11:B13"/>
    <mergeCell ref="C11:C13"/>
    <mergeCell ref="F6:H6"/>
    <mergeCell ref="B8:B10"/>
    <mergeCell ref="C8:C10"/>
    <mergeCell ref="C3:D3"/>
    <mergeCell ref="C4:D4"/>
    <mergeCell ref="G4:H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N237"/>
  <sheetViews>
    <sheetView topLeftCell="A4" zoomScaleNormal="100" workbookViewId="0">
      <pane xSplit="2" ySplit="1" topLeftCell="C5" activePane="bottomRight" state="frozen"/>
      <selection activeCell="A4" sqref="A4"/>
      <selection pane="topRight" activeCell="C4" sqref="C4"/>
      <selection pane="bottomLeft" activeCell="A5" sqref="A5"/>
      <selection pane="bottomRight" activeCell="I53" sqref="I53"/>
    </sheetView>
  </sheetViews>
  <sheetFormatPr defaultColWidth="9.140625" defaultRowHeight="12.75" x14ac:dyDescent="0.2"/>
  <cols>
    <col min="1" max="1" width="8.140625" style="48" customWidth="1"/>
    <col min="2" max="2" width="6.28515625" style="713" customWidth="1"/>
    <col min="3" max="3" width="97.28515625" style="420" customWidth="1"/>
    <col min="4" max="5" width="7.85546875" style="291" customWidth="1"/>
    <col min="6" max="6" width="9.5703125" style="291" customWidth="1"/>
    <col min="7" max="8" width="7.85546875" style="291" customWidth="1"/>
    <col min="9" max="9" width="7.85546875" style="420" customWidth="1"/>
    <col min="10" max="10" width="7.85546875" style="421" customWidth="1"/>
    <col min="11" max="16384" width="9.140625" style="48"/>
  </cols>
  <sheetData>
    <row r="1" spans="1:14" s="29" customFormat="1" ht="40.5" customHeight="1" x14ac:dyDescent="0.2">
      <c r="B1" s="1327" t="s">
        <v>653</v>
      </c>
      <c r="C1" s="1327"/>
      <c r="D1" s="1327"/>
      <c r="E1" s="1327"/>
      <c r="F1" s="1327"/>
      <c r="G1" s="1327"/>
      <c r="H1" s="1327"/>
      <c r="I1" s="1327"/>
      <c r="J1" s="1328"/>
    </row>
    <row r="2" spans="1:14" s="29" customFormat="1" ht="21.75" customHeight="1" x14ac:dyDescent="0.2">
      <c r="A2" s="1333" t="s">
        <v>65</v>
      </c>
      <c r="B2" s="1333"/>
      <c r="C2" s="1079"/>
      <c r="D2" s="377" t="s">
        <v>75</v>
      </c>
      <c r="E2" s="271"/>
      <c r="F2" s="945"/>
      <c r="G2" s="1329"/>
      <c r="H2" s="1329"/>
      <c r="I2" s="1329"/>
      <c r="J2" s="1330"/>
    </row>
    <row r="3" spans="1:14" s="29" customFormat="1" ht="22.5" customHeight="1" thickBot="1" x14ac:dyDescent="0.25">
      <c r="A3" s="1334" t="s">
        <v>285</v>
      </c>
      <c r="B3" s="1334"/>
      <c r="C3" s="95"/>
      <c r="D3" s="377" t="s">
        <v>286</v>
      </c>
      <c r="E3" s="271"/>
      <c r="F3" s="946"/>
      <c r="G3" s="1331"/>
      <c r="H3" s="1331"/>
      <c r="I3" s="1331"/>
      <c r="J3" s="1332"/>
    </row>
    <row r="4" spans="1:14" s="96" customFormat="1" ht="55.5" customHeight="1" thickBot="1" x14ac:dyDescent="0.25">
      <c r="A4" s="1056" t="s">
        <v>288</v>
      </c>
      <c r="B4" s="1057" t="s">
        <v>289</v>
      </c>
      <c r="C4" s="999" t="s">
        <v>30</v>
      </c>
      <c r="D4" s="1058" t="s">
        <v>31</v>
      </c>
      <c r="E4" s="1059" t="s">
        <v>47</v>
      </c>
      <c r="F4" s="1059" t="s">
        <v>36</v>
      </c>
      <c r="G4" s="1059" t="s">
        <v>35</v>
      </c>
      <c r="H4" s="1060" t="s">
        <v>55</v>
      </c>
      <c r="I4" s="1061" t="s">
        <v>10</v>
      </c>
      <c r="J4" s="1062" t="s">
        <v>350</v>
      </c>
      <c r="M4" s="29"/>
      <c r="N4" s="29"/>
    </row>
    <row r="5" spans="1:14" s="96" customFormat="1" ht="15.75" thickBot="1" x14ac:dyDescent="0.25">
      <c r="A5" s="1337" t="s">
        <v>623</v>
      </c>
      <c r="B5" s="691">
        <v>1</v>
      </c>
      <c r="C5" s="1000" t="s">
        <v>635</v>
      </c>
      <c r="D5" s="1080">
        <f>+VEG_DATA!AA325</f>
        <v>0</v>
      </c>
      <c r="E5" s="378"/>
      <c r="F5" s="379"/>
      <c r="G5" s="379"/>
      <c r="H5" s="378"/>
      <c r="I5" s="380"/>
      <c r="J5" s="1016"/>
      <c r="M5" s="29"/>
      <c r="N5" s="29"/>
    </row>
    <row r="6" spans="1:14" s="96" customFormat="1" ht="15" x14ac:dyDescent="0.2">
      <c r="A6" s="1338"/>
      <c r="B6" s="692">
        <v>2</v>
      </c>
      <c r="C6" s="1001" t="s">
        <v>292</v>
      </c>
      <c r="D6" s="1081">
        <f>FLOOD_OFFICE!F8</f>
        <v>0</v>
      </c>
      <c r="E6" s="381"/>
      <c r="F6" s="382"/>
      <c r="G6" s="382"/>
      <c r="H6" s="378"/>
      <c r="I6" s="383"/>
      <c r="J6" s="1017"/>
      <c r="M6" s="29"/>
      <c r="N6" s="29"/>
    </row>
    <row r="7" spans="1:14" s="96" customFormat="1" ht="29.25" customHeight="1" thickBot="1" x14ac:dyDescent="0.25">
      <c r="A7" s="1339"/>
      <c r="B7" s="693"/>
      <c r="C7" s="1002" t="s">
        <v>622</v>
      </c>
      <c r="D7" s="1018"/>
      <c r="E7" s="444"/>
      <c r="F7" s="445"/>
      <c r="G7" s="446"/>
      <c r="H7" s="446"/>
      <c r="I7" s="447" t="s">
        <v>351</v>
      </c>
      <c r="J7" s="1019"/>
      <c r="M7" s="29"/>
      <c r="N7" s="29"/>
    </row>
    <row r="8" spans="1:14" s="96" customFormat="1" ht="41.25" customHeight="1" x14ac:dyDescent="0.2">
      <c r="A8" s="1346" t="s">
        <v>633</v>
      </c>
      <c r="B8" s="694">
        <v>3</v>
      </c>
      <c r="C8" s="1003" t="str">
        <f>+FLOOD_OFFICE!C9</f>
        <v>Are there urban lands within 5 miles downstream of site and 0.5 miles of the river that are outside of the 100 yr FEMA flood area?</v>
      </c>
      <c r="D8" s="1020" t="str">
        <f>IF(+FLOOD_OFFICE!F9 = "","", IF(FLOOD_OFFICE!F9 = "Y", 1, 0))</f>
        <v/>
      </c>
      <c r="E8" s="441">
        <v>1</v>
      </c>
      <c r="F8" s="272" t="str">
        <f>IFERROR(D8/E8,"")</f>
        <v/>
      </c>
      <c r="G8" s="384">
        <f>IF(D8=1, 13,0)</f>
        <v>0</v>
      </c>
      <c r="H8" s="442" t="str">
        <f t="shared" ref="H8:H15" si="0">IFERROR(F8*G8,"")</f>
        <v/>
      </c>
      <c r="I8" s="443"/>
      <c r="J8" s="1021"/>
      <c r="M8" s="29"/>
      <c r="N8" s="29"/>
    </row>
    <row r="9" spans="1:14" s="96" customFormat="1" ht="31.5" customHeight="1" x14ac:dyDescent="0.2">
      <c r="A9" s="1347"/>
      <c r="B9" s="694">
        <v>4</v>
      </c>
      <c r="C9" s="1003" t="s">
        <v>294</v>
      </c>
      <c r="D9" s="1022" t="str">
        <f>IFERROR(FLOOD_OFFICE!F11,"")</f>
        <v/>
      </c>
      <c r="E9" s="272" t="str">
        <f>IF(D6="M",23239, IF(D6="D", 28331, ""))</f>
        <v/>
      </c>
      <c r="F9" s="272" t="str">
        <f>IFERROR(D9/E9,"")</f>
        <v/>
      </c>
      <c r="G9" s="384">
        <v>2</v>
      </c>
      <c r="H9" s="442" t="str">
        <f t="shared" si="0"/>
        <v/>
      </c>
      <c r="I9" s="443"/>
      <c r="J9" s="1021"/>
      <c r="M9" s="29"/>
      <c r="N9" s="29"/>
    </row>
    <row r="10" spans="1:14" s="96" customFormat="1" ht="30" x14ac:dyDescent="0.2">
      <c r="A10" s="1347"/>
      <c r="B10" s="694">
        <v>5</v>
      </c>
      <c r="C10" s="1004" t="s">
        <v>377</v>
      </c>
      <c r="D10" s="1023">
        <f>+SUM(FLOOD_OFFICE!G12:G15)</f>
        <v>0</v>
      </c>
      <c r="E10" s="272" t="str">
        <f>IF(FLOOD_OFFICE!F11="","",0.5*FLOOD_OFFICE!F11)</f>
        <v/>
      </c>
      <c r="F10" s="272">
        <f>IFERROR(D10/E10, 0)</f>
        <v>0</v>
      </c>
      <c r="G10" s="384">
        <v>2</v>
      </c>
      <c r="H10" s="442">
        <f t="shared" si="0"/>
        <v>0</v>
      </c>
      <c r="I10" s="386" t="s">
        <v>27</v>
      </c>
      <c r="J10" s="1024"/>
    </row>
    <row r="11" spans="1:14" ht="31.5" customHeight="1" x14ac:dyDescent="0.2">
      <c r="A11" s="1347"/>
      <c r="B11" s="695">
        <v>6</v>
      </c>
      <c r="C11" s="1004" t="s">
        <v>777</v>
      </c>
      <c r="D11" s="1025" t="str">
        <f>+FLOOD_OFFICE!H17</f>
        <v/>
      </c>
      <c r="E11" s="273">
        <v>20</v>
      </c>
      <c r="F11" s="272" t="str">
        <f>IFERROR(D11/E11,"")</f>
        <v/>
      </c>
      <c r="G11" s="385">
        <v>2</v>
      </c>
      <c r="H11" s="442" t="str">
        <f t="shared" si="0"/>
        <v/>
      </c>
      <c r="I11" s="387"/>
      <c r="J11" s="1026"/>
    </row>
    <row r="12" spans="1:14" ht="25.5" customHeight="1" x14ac:dyDescent="0.2">
      <c r="A12" s="1347"/>
      <c r="B12" s="695">
        <v>7</v>
      </c>
      <c r="C12" s="1004" t="s">
        <v>778</v>
      </c>
      <c r="D12" s="1025" t="str">
        <f>FLOOD_OFFICE!H19</f>
        <v/>
      </c>
      <c r="E12" s="273">
        <v>20</v>
      </c>
      <c r="F12" s="272" t="str">
        <f>IFERROR(D12/E12,"")</f>
        <v/>
      </c>
      <c r="G12" s="385">
        <v>3</v>
      </c>
      <c r="H12" s="442" t="str">
        <f t="shared" si="0"/>
        <v/>
      </c>
      <c r="I12" s="387" t="s">
        <v>27</v>
      </c>
      <c r="J12" s="1026"/>
    </row>
    <row r="13" spans="1:14" s="97" customFormat="1" ht="15" customHeight="1" x14ac:dyDescent="0.2">
      <c r="A13" s="1347"/>
      <c r="B13" s="1340">
        <v>8</v>
      </c>
      <c r="C13" s="1343" t="s">
        <v>632</v>
      </c>
      <c r="D13" s="1025" t="str">
        <f>+(IF(FLOOD_OFFICE!F20="","", IF(FLOOD_OFFICE!F20&lt;=100,1,(1/FLOOD_OFFICE!F20)*100)))</f>
        <v/>
      </c>
      <c r="E13" s="273">
        <v>1</v>
      </c>
      <c r="F13" s="272" t="str">
        <f>IFERROR(D13/E13,"")</f>
        <v/>
      </c>
      <c r="G13" s="385">
        <v>1</v>
      </c>
      <c r="H13" s="442" t="str">
        <f t="shared" si="0"/>
        <v/>
      </c>
      <c r="I13" s="387"/>
      <c r="J13" s="1026"/>
    </row>
    <row r="14" spans="1:14" x14ac:dyDescent="0.2">
      <c r="A14" s="1347"/>
      <c r="B14" s="1341"/>
      <c r="C14" s="1344"/>
      <c r="D14" s="1025" t="str">
        <f>+(IF(FLOOD_OFFICE!F21="","",IF(FLOOD_OFFICE!F21&lt;=100,1,(1/FLOOD_OFFICE!F21)*100)))</f>
        <v/>
      </c>
      <c r="E14" s="273">
        <v>1</v>
      </c>
      <c r="F14" s="272" t="str">
        <f>IFERROR(D14/E14,"")</f>
        <v/>
      </c>
      <c r="G14" s="385">
        <v>2</v>
      </c>
      <c r="H14" s="442" t="str">
        <f t="shared" si="0"/>
        <v/>
      </c>
      <c r="I14" s="387"/>
      <c r="J14" s="1026"/>
    </row>
    <row r="15" spans="1:14" ht="20.25" customHeight="1" x14ac:dyDescent="0.2">
      <c r="A15" s="1347"/>
      <c r="B15" s="1342"/>
      <c r="C15" s="1345"/>
      <c r="D15" s="1025" t="str">
        <f>+(IF(FLOOD_OFFICE!F22="","", IF(FLOOD_OFFICE!F22&lt;=100,1,(1/FLOOD_OFFICE!F22)*100)))</f>
        <v/>
      </c>
      <c r="E15" s="273">
        <v>1</v>
      </c>
      <c r="F15" s="272" t="str">
        <f>IFERROR(D15/E15,"")</f>
        <v/>
      </c>
      <c r="G15" s="388">
        <v>1</v>
      </c>
      <c r="H15" s="442" t="str">
        <f t="shared" si="0"/>
        <v/>
      </c>
      <c r="I15" s="387"/>
      <c r="J15" s="1027">
        <v>1</v>
      </c>
    </row>
    <row r="16" spans="1:14" ht="15.75" thickBot="1" x14ac:dyDescent="0.25">
      <c r="A16" s="1347"/>
      <c r="B16" s="696"/>
      <c r="C16" s="1005" t="s">
        <v>634</v>
      </c>
      <c r="D16" s="1028"/>
      <c r="E16" s="274"/>
      <c r="F16" s="389" t="s">
        <v>27</v>
      </c>
      <c r="G16" s="385">
        <f>SUM(G8:G15)</f>
        <v>13</v>
      </c>
      <c r="H16" s="385">
        <f>SUM(H8:H15)</f>
        <v>0</v>
      </c>
      <c r="I16" s="721">
        <f>+H16/G16</f>
        <v>0</v>
      </c>
      <c r="J16" s="1029">
        <f>1*I16</f>
        <v>0</v>
      </c>
    </row>
    <row r="17" spans="1:10" ht="23.25" customHeight="1" thickBot="1" x14ac:dyDescent="0.3">
      <c r="A17" s="1318" t="s">
        <v>352</v>
      </c>
      <c r="B17" s="697">
        <v>9</v>
      </c>
      <c r="C17" s="1006" t="s">
        <v>299</v>
      </c>
      <c r="D17" s="1030" t="str">
        <f>IF(FLOOD_OFFICE!F23="","", IF(FLOOD_OFFICE!F23&gt;20, 20, IF(FLOOD_OFFICE!F23=20, 20, FLOOD_OFFICE!F23)))</f>
        <v/>
      </c>
      <c r="E17" s="275">
        <v>20</v>
      </c>
      <c r="F17" s="275" t="str">
        <f>IFERROR(D17/E17,"")</f>
        <v/>
      </c>
      <c r="G17" s="391">
        <v>1</v>
      </c>
      <c r="H17" s="275" t="str">
        <f>IFERROR(F17*G17,"")</f>
        <v/>
      </c>
      <c r="I17" s="390"/>
      <c r="J17" s="1031"/>
    </row>
    <row r="18" spans="1:10" ht="20.25" customHeight="1" thickBot="1" x14ac:dyDescent="0.3">
      <c r="A18" s="1319"/>
      <c r="B18" s="698">
        <v>10</v>
      </c>
      <c r="C18" s="1007" t="s">
        <v>301</v>
      </c>
      <c r="D18" s="1030" t="str">
        <f>IF(FLOOD_OFFICE!F24="","", IF(FLOOD_OFFICE!F24&gt;20, 20, IF(FLOOD_OFFICE!F24=20, 20, FLOOD_OFFICE!F24)))</f>
        <v/>
      </c>
      <c r="E18" s="275">
        <v>20</v>
      </c>
      <c r="F18" s="275" t="str">
        <f>IFERROR(D18/E18,"")</f>
        <v/>
      </c>
      <c r="G18" s="392">
        <v>3</v>
      </c>
      <c r="H18" s="275" t="str">
        <f>IFERROR(F18*G18,"")</f>
        <v/>
      </c>
      <c r="I18" s="393"/>
      <c r="J18" s="1032"/>
    </row>
    <row r="19" spans="1:10" ht="25.5" customHeight="1" x14ac:dyDescent="0.25">
      <c r="A19" s="1319"/>
      <c r="B19" s="698">
        <v>11</v>
      </c>
      <c r="C19" s="1007" t="s">
        <v>303</v>
      </c>
      <c r="D19" s="1030" t="str">
        <f>IF(FLOOD_OFFICE!F25="","", IF(FLOOD_OFFICE!F25&gt;20, 20, IF(FLOOD_OFFICE!F25=20, 20, FLOOD_OFFICE!F25)))</f>
        <v/>
      </c>
      <c r="E19" s="275">
        <v>20</v>
      </c>
      <c r="F19" s="275" t="str">
        <f>IFERROR(D19/E19,"")</f>
        <v/>
      </c>
      <c r="G19" s="392">
        <v>1</v>
      </c>
      <c r="H19" s="275" t="str">
        <f>IFERROR(F19*G19,"")</f>
        <v/>
      </c>
      <c r="I19" s="393"/>
      <c r="J19" s="1032"/>
    </row>
    <row r="20" spans="1:10" ht="41.25" customHeight="1" x14ac:dyDescent="0.25">
      <c r="A20" s="1319"/>
      <c r="B20" s="699">
        <v>12</v>
      </c>
      <c r="C20" s="1008" t="s">
        <v>625</v>
      </c>
      <c r="D20" s="1033" t="str">
        <f>IF(FLOOD_OFFICE!F26="","", IF(FLOOD_OFFICE!F26="y", 1,0))</f>
        <v/>
      </c>
      <c r="E20" s="392" t="s">
        <v>27</v>
      </c>
      <c r="F20" s="392"/>
      <c r="G20" s="392"/>
      <c r="H20" s="392"/>
      <c r="I20" s="394"/>
      <c r="J20" s="1034">
        <f>IF($D$20=1,0,2)</f>
        <v>2</v>
      </c>
    </row>
    <row r="21" spans="1:10" s="29" customFormat="1" ht="27" customHeight="1" thickBot="1" x14ac:dyDescent="0.3">
      <c r="A21" s="1320"/>
      <c r="B21" s="700"/>
      <c r="C21" s="1009" t="s">
        <v>626</v>
      </c>
      <c r="D21" s="1035"/>
      <c r="E21" s="375" t="s">
        <v>27</v>
      </c>
      <c r="F21" s="395" t="s">
        <v>27</v>
      </c>
      <c r="G21" s="392">
        <f>SUM(G17:G20)</f>
        <v>5</v>
      </c>
      <c r="H21" s="392">
        <f>SUM(H17:H20)</f>
        <v>0</v>
      </c>
      <c r="I21" s="376">
        <f>H21/G21</f>
        <v>0</v>
      </c>
      <c r="J21" s="1036">
        <f>IF($D$20=1,0,2*$I$21)</f>
        <v>0</v>
      </c>
    </row>
    <row r="22" spans="1:10" ht="27.75" customHeight="1" thickBot="1" x14ac:dyDescent="0.25">
      <c r="A22" s="1324" t="s">
        <v>326</v>
      </c>
      <c r="B22" s="701">
        <v>13</v>
      </c>
      <c r="C22" s="1010" t="s">
        <v>330</v>
      </c>
      <c r="D22" s="1037">
        <f>IFERROR((IF(FLOOD_FIELD!E26&lt;0.03, 1, IF(FLOOD_FIELD!E26=0.03,1, 0))), "")</f>
        <v>0</v>
      </c>
      <c r="E22" s="396">
        <v>1</v>
      </c>
      <c r="F22" s="1082">
        <f>IFERROR(D22/E22,"")</f>
        <v>0</v>
      </c>
      <c r="G22" s="276">
        <v>1</v>
      </c>
      <c r="H22" s="397">
        <f>+IFERROR(F22*G22,"")</f>
        <v>0</v>
      </c>
      <c r="I22" s="398"/>
      <c r="J22" s="1038"/>
    </row>
    <row r="23" spans="1:10" ht="27" customHeight="1" thickBot="1" x14ac:dyDescent="0.25">
      <c r="A23" s="1325"/>
      <c r="B23" s="702">
        <v>14</v>
      </c>
      <c r="C23" s="1010" t="s">
        <v>643</v>
      </c>
      <c r="D23" s="1040" t="str">
        <f>IF(FLOOD_FIELD!E50="","", IF(FLOOD_FIELD!E50&gt;E23, E23, FLOOD_FIELD!E50))</f>
        <v/>
      </c>
      <c r="E23" s="396">
        <v>10</v>
      </c>
      <c r="F23" s="276" t="str">
        <f>IFERROR(D23/E23,"")</f>
        <v/>
      </c>
      <c r="G23" s="277">
        <v>2</v>
      </c>
      <c r="H23" s="397" t="str">
        <f>+IFERROR(F23*G23,"")</f>
        <v/>
      </c>
      <c r="I23" s="400"/>
      <c r="J23" s="1039"/>
    </row>
    <row r="24" spans="1:10" ht="30.75" thickBot="1" x14ac:dyDescent="0.25">
      <c r="A24" s="1325"/>
      <c r="B24" s="702">
        <v>15</v>
      </c>
      <c r="C24" s="1011" t="s">
        <v>331</v>
      </c>
      <c r="D24" s="1040" t="str">
        <f>IFERROR(FLOOD_FIELD!F34,"")</f>
        <v/>
      </c>
      <c r="E24" s="399">
        <v>100</v>
      </c>
      <c r="F24" s="276" t="str">
        <f>IFERROR(D24/E24,"")</f>
        <v/>
      </c>
      <c r="G24" s="277">
        <v>2</v>
      </c>
      <c r="H24" s="397" t="str">
        <f>+IFERROR(F24*G24,"")</f>
        <v/>
      </c>
      <c r="I24" s="400"/>
      <c r="J24" s="1039"/>
    </row>
    <row r="25" spans="1:10" ht="30" x14ac:dyDescent="0.2">
      <c r="A25" s="1325"/>
      <c r="B25" s="702">
        <v>16</v>
      </c>
      <c r="C25" s="1011" t="s">
        <v>779</v>
      </c>
      <c r="D25" s="1040" t="str">
        <f>IFERROR(FLOOD_FIELD!F35,"")</f>
        <v/>
      </c>
      <c r="E25" s="399">
        <v>100</v>
      </c>
      <c r="F25" s="276" t="str">
        <f>IFERROR(D25/E25,"")</f>
        <v/>
      </c>
      <c r="G25" s="278">
        <v>1</v>
      </c>
      <c r="H25" s="397" t="str">
        <f>+IFERROR(F25*G25,"")</f>
        <v/>
      </c>
      <c r="I25" s="400"/>
      <c r="J25" s="1041">
        <v>1</v>
      </c>
    </row>
    <row r="26" spans="1:10" ht="15.75" thickBot="1" x14ac:dyDescent="0.25">
      <c r="A26" s="1326"/>
      <c r="B26" s="703"/>
      <c r="C26" s="1012" t="s">
        <v>627</v>
      </c>
      <c r="D26" s="1042" t="s">
        <v>27</v>
      </c>
      <c r="E26" s="401"/>
      <c r="F26" s="279" t="s">
        <v>27</v>
      </c>
      <c r="G26" s="279">
        <f>+SUM(G22:G25)</f>
        <v>6</v>
      </c>
      <c r="H26" s="279">
        <f>+SUM(H22:H25)</f>
        <v>0</v>
      </c>
      <c r="I26" s="402">
        <f>H26/G26</f>
        <v>0</v>
      </c>
      <c r="J26" s="1043">
        <f>+I26*1</f>
        <v>0</v>
      </c>
    </row>
    <row r="27" spans="1:10" ht="29.25" customHeight="1" thickBot="1" x14ac:dyDescent="0.25">
      <c r="A27" s="1348" t="s">
        <v>332</v>
      </c>
      <c r="B27" s="704">
        <v>17</v>
      </c>
      <c r="C27" s="1013" t="s">
        <v>333</v>
      </c>
      <c r="D27" s="1044">
        <f>IF(FLOOD_FIELD!E38&gt;20, 20, IF(FLOOD_FIELD!E38=20, 20,FLOOD_FIELD!E38))</f>
        <v>0</v>
      </c>
      <c r="E27" s="403">
        <v>20</v>
      </c>
      <c r="F27" s="280">
        <f>IFERROR(D27/E27,"")</f>
        <v>0</v>
      </c>
      <c r="G27" s="280">
        <v>3</v>
      </c>
      <c r="H27" s="282">
        <f>IFERROR(F27*G27,"")</f>
        <v>0</v>
      </c>
      <c r="I27" s="404"/>
      <c r="J27" s="1045"/>
    </row>
    <row r="28" spans="1:10" ht="30.75" thickBot="1" x14ac:dyDescent="0.25">
      <c r="A28" s="1349"/>
      <c r="B28" s="705">
        <v>18</v>
      </c>
      <c r="C28" s="1014" t="s">
        <v>379</v>
      </c>
      <c r="D28" s="1046" t="str">
        <f>IFERROR(1/(IF(FLOOD_FIELD!G42&lt;3,1,FLOOD_FIELD!G42)),"")</f>
        <v/>
      </c>
      <c r="E28" s="405">
        <v>1</v>
      </c>
      <c r="F28" s="280" t="str">
        <f>IFERROR(D28/E28,"")</f>
        <v/>
      </c>
      <c r="G28" s="281">
        <v>2</v>
      </c>
      <c r="H28" s="282" t="str">
        <f>IFERROR(F28*G28,"")</f>
        <v/>
      </c>
      <c r="I28" s="406"/>
      <c r="J28" s="1047"/>
    </row>
    <row r="29" spans="1:10" ht="15" x14ac:dyDescent="0.2">
      <c r="A29" s="1349"/>
      <c r="B29" s="705">
        <v>19</v>
      </c>
      <c r="C29" s="1014" t="s">
        <v>335</v>
      </c>
      <c r="D29" s="1046" t="str">
        <f>+IF(FLOOD_FIELD!F52="","", IF(FLOOD_FIELD!F52&lt;0.03, 1, IF(FLOOD_FIELD!F52=0.03,1, 0)))</f>
        <v/>
      </c>
      <c r="E29" s="405">
        <v>1</v>
      </c>
      <c r="F29" s="280" t="str">
        <f>IFERROR(D29/E29,"")</f>
        <v/>
      </c>
      <c r="G29" s="281">
        <v>1</v>
      </c>
      <c r="H29" s="282" t="str">
        <f>IFERROR(F29*G29,"")</f>
        <v/>
      </c>
      <c r="I29" s="406"/>
      <c r="J29" s="1047"/>
    </row>
    <row r="30" spans="1:10" ht="30.75" thickBot="1" x14ac:dyDescent="0.25">
      <c r="A30" s="1349"/>
      <c r="B30" s="705">
        <v>20</v>
      </c>
      <c r="C30" s="1014" t="s">
        <v>378</v>
      </c>
      <c r="D30" s="1046" t="str">
        <f>IF(FLOOD_FIELD!F54="","", FLOOD_FIELD!F54)</f>
        <v/>
      </c>
      <c r="E30" s="405">
        <f>(FLOOD_FIELD!E38*3)*0.5</f>
        <v>0</v>
      </c>
      <c r="F30" s="281" t="str">
        <f>IFERROR(D30/E30,"")</f>
        <v/>
      </c>
      <c r="G30" s="281">
        <v>1</v>
      </c>
      <c r="H30" s="282" t="str">
        <f>IFERROR(F30*G30,"")</f>
        <v/>
      </c>
      <c r="I30" s="406"/>
      <c r="J30" s="1047"/>
    </row>
    <row r="31" spans="1:10" ht="15" x14ac:dyDescent="0.2">
      <c r="A31" s="1349"/>
      <c r="B31" s="705">
        <v>21</v>
      </c>
      <c r="C31" s="1014" t="s">
        <v>338</v>
      </c>
      <c r="D31" s="1048">
        <f>IF(FLOOD_FIELD!H57="","", IF(FLOOD_FIELD!H57&gt;0.89, 1,FLOOD_FIELD!H57))</f>
        <v>0</v>
      </c>
      <c r="E31" s="405">
        <v>1</v>
      </c>
      <c r="F31" s="280">
        <f>IFERROR(D31/E31,"")</f>
        <v>0</v>
      </c>
      <c r="G31" s="281">
        <v>2</v>
      </c>
      <c r="H31" s="282">
        <f>IFERROR(F31*G31,"")</f>
        <v>0</v>
      </c>
      <c r="I31" s="406"/>
      <c r="J31" s="1049">
        <v>2</v>
      </c>
    </row>
    <row r="32" spans="1:10" ht="29.25" customHeight="1" thickBot="1" x14ac:dyDescent="0.25">
      <c r="A32" s="1350"/>
      <c r="B32" s="706"/>
      <c r="C32" s="1064" t="s">
        <v>628</v>
      </c>
      <c r="D32" s="1050"/>
      <c r="E32" s="407"/>
      <c r="F32" s="374" t="s">
        <v>27</v>
      </c>
      <c r="G32" s="374">
        <f>SUM(G27:G31)</f>
        <v>9</v>
      </c>
      <c r="H32" s="374">
        <f>SUM(H27:H31)</f>
        <v>0</v>
      </c>
      <c r="I32" s="408">
        <f>+H32/G32</f>
        <v>0</v>
      </c>
      <c r="J32" s="1051">
        <f>+I32*2</f>
        <v>0</v>
      </c>
    </row>
    <row r="33" spans="1:11" ht="30.75" thickBot="1" x14ac:dyDescent="0.25">
      <c r="A33" s="1318" t="s">
        <v>342</v>
      </c>
      <c r="B33" s="1065">
        <v>22</v>
      </c>
      <c r="C33" s="1068" t="s">
        <v>344</v>
      </c>
      <c r="D33" s="1063">
        <f>IF(FLOOD_FIELD!E59&gt;100, 100, IF(FLOOD_FIELD!E59=100, 100,FLOOD_FIELD!E59))</f>
        <v>0</v>
      </c>
      <c r="E33" s="410">
        <v>100</v>
      </c>
      <c r="F33" s="283">
        <f>IFERROR(D33/E33,"")</f>
        <v>0</v>
      </c>
      <c r="G33" s="283">
        <v>3</v>
      </c>
      <c r="H33" s="411">
        <f>IFERROR(F33*G33,"")</f>
        <v>0</v>
      </c>
      <c r="I33" s="412"/>
      <c r="J33" s="1052"/>
    </row>
    <row r="34" spans="1:11" ht="15.75" thickBot="1" x14ac:dyDescent="0.25">
      <c r="A34" s="1319"/>
      <c r="B34" s="1066">
        <v>23</v>
      </c>
      <c r="C34" s="1069" t="s">
        <v>380</v>
      </c>
      <c r="D34" s="1063" t="str">
        <f>IFERROR(1/(IF(FLOOD_FIELD!G66&lt;3,1,FLOOD_FIELD!G66)),"")</f>
        <v/>
      </c>
      <c r="E34" s="409">
        <v>1</v>
      </c>
      <c r="F34" s="283" t="str">
        <f t="shared" ref="F34:F37" si="1">IFERROR(D34/E34,"")</f>
        <v/>
      </c>
      <c r="G34" s="284">
        <v>2</v>
      </c>
      <c r="H34" s="411" t="str">
        <f>IFERROR(F34*G34,"")</f>
        <v/>
      </c>
      <c r="I34" s="413"/>
      <c r="J34" s="1053"/>
    </row>
    <row r="35" spans="1:11" ht="19.5" customHeight="1" thickBot="1" x14ac:dyDescent="0.25">
      <c r="A35" s="1319"/>
      <c r="B35" s="1066">
        <v>24</v>
      </c>
      <c r="C35" s="1069" t="s">
        <v>348</v>
      </c>
      <c r="D35" s="1063" t="str">
        <f>+IF(FLOOD_FIELD!E68="","",IF(FLOOD_FIELD!E68&lt;0.03, 1, IF(FLOOD_FIELD!E68=0.03,1, 0)))</f>
        <v/>
      </c>
      <c r="E35" s="409">
        <v>1</v>
      </c>
      <c r="F35" s="283" t="str">
        <f t="shared" si="1"/>
        <v/>
      </c>
      <c r="G35" s="284">
        <v>1</v>
      </c>
      <c r="H35" s="411" t="str">
        <f>IFERROR(F35*G35,"")</f>
        <v/>
      </c>
      <c r="I35" s="413"/>
      <c r="J35" s="1053"/>
    </row>
    <row r="36" spans="1:11" ht="39" customHeight="1" thickBot="1" x14ac:dyDescent="0.25">
      <c r="A36" s="1319"/>
      <c r="B36" s="1066">
        <v>25</v>
      </c>
      <c r="C36" s="1069" t="s">
        <v>378</v>
      </c>
      <c r="D36" s="1063" t="str">
        <f>IF(FLOOD_FIELD!E70="","", FLOOD_FIELD!E70)</f>
        <v/>
      </c>
      <c r="E36" s="409">
        <f>FLOOD_FIELD!E59*3</f>
        <v>0</v>
      </c>
      <c r="F36" s="283" t="str">
        <f t="shared" si="1"/>
        <v/>
      </c>
      <c r="G36" s="284">
        <v>1</v>
      </c>
      <c r="H36" s="411" t="str">
        <f>IFERROR(F36*G36,"")</f>
        <v/>
      </c>
      <c r="I36" s="413"/>
      <c r="J36" s="1053"/>
      <c r="K36" s="1122" t="s">
        <v>27</v>
      </c>
    </row>
    <row r="37" spans="1:11" ht="15.75" thickBot="1" x14ac:dyDescent="0.25">
      <c r="A37" s="1319"/>
      <c r="B37" s="1066">
        <v>26</v>
      </c>
      <c r="C37" s="1070" t="s">
        <v>349</v>
      </c>
      <c r="D37" s="1063">
        <f>IF(FLOOD_FIELD!H73="","",IF(FLOOD_FIELD!H73&gt;89, 1,FLOOD_FIELD!H73))</f>
        <v>0</v>
      </c>
      <c r="E37" s="409">
        <v>100</v>
      </c>
      <c r="F37" s="283">
        <f t="shared" si="1"/>
        <v>0</v>
      </c>
      <c r="G37" s="285">
        <v>2</v>
      </c>
      <c r="H37" s="411">
        <f>IFERROR(F37*G37,"")</f>
        <v>0</v>
      </c>
      <c r="I37" s="413"/>
      <c r="J37" s="1053"/>
    </row>
    <row r="38" spans="1:11" ht="15" x14ac:dyDescent="0.2">
      <c r="A38" s="1319"/>
      <c r="B38" s="707"/>
      <c r="C38" s="1067" t="s">
        <v>353</v>
      </c>
      <c r="D38" s="1054"/>
      <c r="E38" s="414"/>
      <c r="F38" s="415" t="s">
        <v>27</v>
      </c>
      <c r="G38" s="284">
        <f>SUM(G33:G37)</f>
        <v>9</v>
      </c>
      <c r="H38" s="416" t="s">
        <v>27</v>
      </c>
      <c r="I38" s="417"/>
      <c r="J38" s="1055">
        <v>0</v>
      </c>
    </row>
    <row r="39" spans="1:11" s="44" customFormat="1" ht="15.75" thickBot="1" x14ac:dyDescent="0.25">
      <c r="A39" s="1320"/>
      <c r="B39" s="708"/>
      <c r="C39" s="1015" t="s">
        <v>629</v>
      </c>
      <c r="D39" s="1035"/>
      <c r="E39" s="375"/>
      <c r="F39" s="375" t="s">
        <v>27</v>
      </c>
      <c r="G39" s="1075">
        <f>SUM(G33:G37)</f>
        <v>9</v>
      </c>
      <c r="H39" s="1075">
        <f>SUM(H33:H37)</f>
        <v>0</v>
      </c>
      <c r="I39" s="1076">
        <f>H39/G39</f>
        <v>0</v>
      </c>
      <c r="J39" s="1077">
        <f>+I39*0</f>
        <v>0</v>
      </c>
      <c r="K39" s="1133" t="s">
        <v>27</v>
      </c>
    </row>
    <row r="40" spans="1:11" s="44" customFormat="1" ht="30" customHeight="1" x14ac:dyDescent="0.2">
      <c r="A40" s="98"/>
      <c r="B40" s="709"/>
      <c r="C40" s="99"/>
      <c r="D40" s="286"/>
      <c r="E40" s="744"/>
      <c r="F40" s="744"/>
      <c r="G40" s="1335" t="s">
        <v>354</v>
      </c>
      <c r="H40" s="1335"/>
      <c r="I40" s="1335"/>
      <c r="J40" s="1078"/>
    </row>
    <row r="41" spans="1:11" s="44" customFormat="1" ht="16.5" customHeight="1" x14ac:dyDescent="0.2">
      <c r="A41" s="98"/>
      <c r="B41" s="709"/>
      <c r="C41" s="99" t="s">
        <v>27</v>
      </c>
      <c r="D41" s="286"/>
      <c r="E41" s="289"/>
      <c r="F41" s="289"/>
      <c r="G41" s="1336" t="s">
        <v>437</v>
      </c>
      <c r="H41" s="1336"/>
      <c r="I41" s="1336"/>
      <c r="J41" s="1078">
        <f>+I16</f>
        <v>0</v>
      </c>
    </row>
    <row r="42" spans="1:11" s="44" customFormat="1" ht="24" customHeight="1" thickBot="1" x14ac:dyDescent="0.25">
      <c r="A42" s="98"/>
      <c r="B42" s="709"/>
      <c r="C42" s="99"/>
      <c r="D42" s="286"/>
      <c r="E42" s="289"/>
      <c r="F42" s="289"/>
      <c r="G42" s="1336" t="s">
        <v>438</v>
      </c>
      <c r="H42" s="1336"/>
      <c r="I42" s="1336"/>
      <c r="J42" s="1078">
        <f>+(SUM(J21,J26,J32,J39))/(SUM(J20,J25,J31,J38))</f>
        <v>0</v>
      </c>
    </row>
    <row r="43" spans="1:11" ht="38.25" customHeight="1" x14ac:dyDescent="0.2">
      <c r="A43" s="1321" t="s">
        <v>355</v>
      </c>
      <c r="B43" s="710">
        <v>27</v>
      </c>
      <c r="C43" s="100" t="s">
        <v>312</v>
      </c>
      <c r="D43" s="1071">
        <f>FLOOD_FIELD!E7</f>
        <v>0</v>
      </c>
      <c r="E43" s="289"/>
      <c r="F43" s="289"/>
      <c r="G43" s="289"/>
      <c r="H43" s="289"/>
      <c r="I43" s="105"/>
      <c r="J43" s="289"/>
    </row>
    <row r="44" spans="1:11" ht="15" x14ac:dyDescent="0.2">
      <c r="A44" s="1322"/>
      <c r="B44" s="711" t="s">
        <v>613</v>
      </c>
      <c r="C44" s="101" t="s">
        <v>314</v>
      </c>
      <c r="D44" s="1072">
        <f>FLOOD_FIELD!E8</f>
        <v>0</v>
      </c>
      <c r="E44" s="289"/>
      <c r="F44" s="289"/>
      <c r="G44" s="289"/>
      <c r="H44" s="289"/>
      <c r="I44" s="105"/>
      <c r="J44" s="289"/>
    </row>
    <row r="45" spans="1:11" ht="15" customHeight="1" x14ac:dyDescent="0.2">
      <c r="A45" s="1322"/>
      <c r="B45" s="711" t="s">
        <v>614</v>
      </c>
      <c r="C45" s="101" t="s">
        <v>356</v>
      </c>
      <c r="D45" s="1072" t="str">
        <f>+FLOOD_FIELD!F10</f>
        <v/>
      </c>
      <c r="E45" s="289"/>
      <c r="F45" s="289"/>
      <c r="G45" s="289"/>
      <c r="H45" s="289"/>
      <c r="I45" s="105"/>
      <c r="J45" s="289"/>
    </row>
    <row r="46" spans="1:11" ht="15" x14ac:dyDescent="0.2">
      <c r="A46" s="1322"/>
      <c r="B46" s="711" t="s">
        <v>615</v>
      </c>
      <c r="C46" s="101" t="s">
        <v>316</v>
      </c>
      <c r="D46" s="1072">
        <f>FLOOD_FIELD!E11</f>
        <v>0</v>
      </c>
      <c r="E46" s="289"/>
      <c r="F46" s="289"/>
      <c r="G46" s="289"/>
      <c r="H46" s="289"/>
      <c r="I46" s="105"/>
      <c r="J46" s="289"/>
    </row>
    <row r="47" spans="1:11" ht="15" x14ac:dyDescent="0.2">
      <c r="A47" s="1322"/>
      <c r="B47" s="711" t="s">
        <v>616</v>
      </c>
      <c r="C47" s="101" t="s">
        <v>357</v>
      </c>
      <c r="D47" s="1072" t="str">
        <f>+FLOOD_FIELD!F13</f>
        <v/>
      </c>
      <c r="E47" s="289"/>
      <c r="F47" s="289"/>
      <c r="G47" s="289"/>
      <c r="H47" s="289"/>
      <c r="I47" s="105"/>
      <c r="J47" s="289"/>
    </row>
    <row r="48" spans="1:11" ht="30" x14ac:dyDescent="0.2">
      <c r="A48" s="1322"/>
      <c r="B48" s="711">
        <v>30</v>
      </c>
      <c r="C48" s="101" t="s">
        <v>318</v>
      </c>
      <c r="D48" s="1073">
        <f>FLOOD_FIELD!F20</f>
        <v>0</v>
      </c>
      <c r="E48" s="289" t="s">
        <v>27</v>
      </c>
      <c r="F48" s="289"/>
      <c r="G48" s="289"/>
      <c r="H48" s="289"/>
      <c r="I48" s="105"/>
      <c r="J48" s="289"/>
    </row>
    <row r="49" spans="1:10" ht="15.75" thickBot="1" x14ac:dyDescent="0.25">
      <c r="A49" s="1323"/>
      <c r="B49" s="712"/>
      <c r="C49" s="102" t="s">
        <v>358</v>
      </c>
      <c r="D49" s="1074"/>
      <c r="E49" s="289" t="s">
        <v>27</v>
      </c>
      <c r="F49" s="289"/>
      <c r="G49" s="289"/>
      <c r="H49" s="289"/>
      <c r="I49" s="105"/>
      <c r="J49" s="289"/>
    </row>
    <row r="50" spans="1:10" s="44" customFormat="1" ht="15" x14ac:dyDescent="0.2">
      <c r="A50" s="103"/>
      <c r="B50" s="245"/>
      <c r="C50" s="422"/>
      <c r="D50" s="287"/>
      <c r="E50" s="289"/>
      <c r="F50" s="289"/>
      <c r="G50" s="289"/>
      <c r="H50" s="289"/>
      <c r="I50" s="105"/>
      <c r="J50" s="289"/>
    </row>
    <row r="51" spans="1:10" s="44" customFormat="1" ht="15" x14ac:dyDescent="0.2">
      <c r="A51" s="103"/>
      <c r="B51" s="321"/>
      <c r="C51" s="422"/>
      <c r="D51" s="288"/>
      <c r="E51" s="288"/>
      <c r="F51" s="289"/>
      <c r="G51" s="289"/>
      <c r="H51" s="418"/>
      <c r="I51" s="105"/>
      <c r="J51" s="419"/>
    </row>
    <row r="52" spans="1:10" s="44" customFormat="1" ht="15" x14ac:dyDescent="0.2">
      <c r="A52" s="103"/>
      <c r="B52" s="321"/>
      <c r="C52" s="422"/>
      <c r="D52" s="288"/>
      <c r="E52" s="288"/>
      <c r="F52" s="289"/>
      <c r="G52" s="289"/>
      <c r="H52" s="418"/>
      <c r="I52" s="105"/>
      <c r="J52" s="419"/>
    </row>
    <row r="53" spans="1:10" s="44" customFormat="1" ht="15" x14ac:dyDescent="0.2">
      <c r="A53" s="103"/>
      <c r="B53" s="321"/>
      <c r="C53" s="422"/>
      <c r="D53" s="288"/>
      <c r="E53" s="288"/>
      <c r="F53" s="289"/>
      <c r="G53" s="289"/>
      <c r="H53" s="418"/>
      <c r="I53" s="105"/>
      <c r="J53" s="419"/>
    </row>
    <row r="54" spans="1:10" s="44" customFormat="1" ht="15" x14ac:dyDescent="0.2">
      <c r="A54" s="103"/>
      <c r="B54" s="321"/>
      <c r="C54" s="422"/>
      <c r="D54" s="289"/>
      <c r="E54" s="289"/>
      <c r="F54" s="289"/>
      <c r="G54" s="289"/>
      <c r="H54" s="289"/>
      <c r="I54" s="105"/>
      <c r="J54" s="419"/>
    </row>
    <row r="55" spans="1:10" s="44" customFormat="1" ht="15" x14ac:dyDescent="0.2">
      <c r="A55" s="103"/>
      <c r="B55" s="321"/>
      <c r="C55" s="422"/>
      <c r="D55" s="289"/>
      <c r="E55" s="289"/>
      <c r="F55" s="289"/>
      <c r="G55" s="289"/>
      <c r="H55" s="289"/>
      <c r="I55" s="105"/>
      <c r="J55" s="419"/>
    </row>
    <row r="56" spans="1:10" s="44" customFormat="1" ht="15" x14ac:dyDescent="0.2">
      <c r="A56" s="103"/>
      <c r="B56" s="321"/>
      <c r="C56" s="422"/>
      <c r="D56" s="289"/>
      <c r="E56" s="289"/>
      <c r="F56" s="289"/>
      <c r="G56" s="289"/>
      <c r="H56" s="289"/>
      <c r="I56" s="105"/>
      <c r="J56" s="419"/>
    </row>
    <row r="57" spans="1:10" s="44" customFormat="1" ht="15" x14ac:dyDescent="0.2">
      <c r="A57" s="103"/>
      <c r="B57" s="321"/>
      <c r="C57" s="422"/>
      <c r="D57" s="289"/>
      <c r="E57" s="289"/>
      <c r="F57" s="289"/>
      <c r="G57" s="289"/>
      <c r="H57" s="289"/>
      <c r="I57" s="105"/>
      <c r="J57" s="419"/>
    </row>
    <row r="58" spans="1:10" s="44" customFormat="1" ht="15" x14ac:dyDescent="0.2">
      <c r="A58" s="103"/>
      <c r="B58" s="321"/>
      <c r="C58" s="422"/>
      <c r="D58" s="289"/>
      <c r="E58" s="289"/>
      <c r="F58" s="289"/>
      <c r="G58" s="289"/>
      <c r="H58" s="289"/>
      <c r="I58" s="105"/>
      <c r="J58" s="419"/>
    </row>
    <row r="59" spans="1:10" s="44" customFormat="1" ht="15" x14ac:dyDescent="0.2">
      <c r="A59" s="103"/>
      <c r="B59" s="321"/>
      <c r="C59" s="422"/>
      <c r="D59" s="289"/>
      <c r="E59" s="289"/>
      <c r="F59" s="289"/>
      <c r="G59" s="289"/>
      <c r="H59" s="289"/>
      <c r="I59" s="105"/>
      <c r="J59" s="419"/>
    </row>
    <row r="60" spans="1:10" s="44" customFormat="1" x14ac:dyDescent="0.2">
      <c r="B60" s="456"/>
      <c r="C60" s="105"/>
      <c r="D60" s="289"/>
      <c r="E60" s="289"/>
      <c r="F60" s="289"/>
      <c r="G60" s="289"/>
      <c r="H60" s="289"/>
      <c r="I60" s="105"/>
      <c r="J60" s="419"/>
    </row>
    <row r="61" spans="1:10" s="44" customFormat="1" x14ac:dyDescent="0.2">
      <c r="B61" s="456"/>
      <c r="C61" s="105"/>
      <c r="D61" s="289"/>
      <c r="E61" s="289"/>
      <c r="F61" s="289"/>
      <c r="G61" s="289"/>
      <c r="H61" s="289"/>
      <c r="I61" s="105"/>
      <c r="J61" s="419"/>
    </row>
    <row r="62" spans="1:10" s="44" customFormat="1" x14ac:dyDescent="0.2">
      <c r="B62" s="456"/>
      <c r="C62" s="105"/>
      <c r="D62" s="289"/>
      <c r="E62" s="289"/>
      <c r="F62" s="289"/>
      <c r="G62" s="289"/>
      <c r="H62" s="289"/>
      <c r="I62" s="105"/>
      <c r="J62" s="419"/>
    </row>
    <row r="63" spans="1:10" s="44" customFormat="1" x14ac:dyDescent="0.2">
      <c r="B63" s="456"/>
      <c r="C63" s="105"/>
      <c r="D63" s="289"/>
      <c r="E63" s="289"/>
      <c r="F63" s="289"/>
      <c r="G63" s="289"/>
      <c r="H63" s="289"/>
      <c r="I63" s="105"/>
      <c r="J63" s="419"/>
    </row>
    <row r="64" spans="1:10" s="44" customFormat="1" ht="15" x14ac:dyDescent="0.2">
      <c r="A64" s="106"/>
      <c r="B64" s="321"/>
      <c r="C64" s="95"/>
      <c r="D64" s="286"/>
      <c r="E64" s="288"/>
      <c r="F64" s="289"/>
      <c r="G64" s="289"/>
      <c r="H64" s="418"/>
      <c r="I64" s="105"/>
      <c r="J64" s="419"/>
    </row>
    <row r="65" spans="1:10" s="44" customFormat="1" x14ac:dyDescent="0.2">
      <c r="A65" s="106"/>
      <c r="B65" s="321"/>
      <c r="C65" s="296"/>
      <c r="D65" s="289"/>
      <c r="E65" s="288"/>
      <c r="F65" s="289"/>
      <c r="G65" s="289"/>
      <c r="H65" s="418"/>
      <c r="I65" s="105"/>
      <c r="J65" s="419"/>
    </row>
    <row r="66" spans="1:10" s="44" customFormat="1" ht="15" x14ac:dyDescent="0.2">
      <c r="A66" s="106"/>
      <c r="B66" s="321"/>
      <c r="C66" s="95"/>
      <c r="D66" s="288"/>
      <c r="E66" s="288"/>
      <c r="F66" s="289"/>
      <c r="G66" s="289"/>
      <c r="H66" s="418"/>
      <c r="I66" s="105"/>
      <c r="J66" s="419"/>
    </row>
    <row r="67" spans="1:10" s="44" customFormat="1" ht="15" x14ac:dyDescent="0.2">
      <c r="A67" s="106"/>
      <c r="B67" s="321"/>
      <c r="C67" s="95"/>
      <c r="D67" s="288"/>
      <c r="E67" s="288"/>
      <c r="F67" s="289"/>
      <c r="G67" s="289"/>
      <c r="H67" s="418"/>
      <c r="I67" s="105"/>
      <c r="J67" s="419"/>
    </row>
    <row r="68" spans="1:10" s="44" customFormat="1" ht="15" x14ac:dyDescent="0.2">
      <c r="A68" s="106"/>
      <c r="B68" s="321"/>
      <c r="C68" s="95"/>
      <c r="D68" s="288"/>
      <c r="E68" s="288"/>
      <c r="F68" s="289"/>
      <c r="G68" s="289"/>
      <c r="H68" s="418"/>
      <c r="I68" s="105"/>
      <c r="J68" s="419"/>
    </row>
    <row r="69" spans="1:10" s="44" customFormat="1" x14ac:dyDescent="0.2">
      <c r="A69" s="106"/>
      <c r="B69" s="321"/>
      <c r="C69" s="107"/>
      <c r="D69" s="288"/>
      <c r="E69" s="288"/>
      <c r="F69" s="289"/>
      <c r="G69" s="289"/>
      <c r="H69" s="418"/>
      <c r="I69" s="105"/>
      <c r="J69" s="419"/>
    </row>
    <row r="70" spans="1:10" s="44" customFormat="1" ht="15" x14ac:dyDescent="0.2">
      <c r="B70" s="321"/>
      <c r="C70" s="95"/>
      <c r="D70" s="288"/>
      <c r="E70" s="288"/>
      <c r="F70" s="289"/>
      <c r="G70" s="289"/>
      <c r="H70" s="418"/>
      <c r="I70" s="105"/>
      <c r="J70" s="419"/>
    </row>
    <row r="71" spans="1:10" s="44" customFormat="1" ht="15" x14ac:dyDescent="0.2">
      <c r="B71" s="321"/>
      <c r="C71" s="95"/>
      <c r="D71" s="288"/>
      <c r="E71" s="288"/>
      <c r="F71" s="289"/>
      <c r="G71" s="289"/>
      <c r="H71" s="418"/>
      <c r="I71" s="105"/>
      <c r="J71" s="419"/>
    </row>
    <row r="72" spans="1:10" s="44" customFormat="1" ht="15" x14ac:dyDescent="0.2">
      <c r="B72" s="321"/>
      <c r="C72" s="95"/>
      <c r="D72" s="288"/>
      <c r="E72" s="288"/>
      <c r="F72" s="289"/>
      <c r="G72" s="289"/>
      <c r="H72" s="418"/>
      <c r="I72" s="105"/>
      <c r="J72" s="419"/>
    </row>
    <row r="73" spans="1:10" s="44" customFormat="1" ht="15" x14ac:dyDescent="0.2">
      <c r="B73" s="321"/>
      <c r="C73" s="95"/>
      <c r="D73" s="288"/>
      <c r="E73" s="288"/>
      <c r="F73" s="289"/>
      <c r="G73" s="289"/>
      <c r="H73" s="418"/>
      <c r="I73" s="105"/>
      <c r="J73" s="419"/>
    </row>
    <row r="74" spans="1:10" s="44" customFormat="1" ht="15" x14ac:dyDescent="0.2">
      <c r="B74" s="321"/>
      <c r="C74" s="95"/>
      <c r="D74" s="288"/>
      <c r="E74" s="288"/>
      <c r="F74" s="289"/>
      <c r="G74" s="289"/>
      <c r="H74" s="418"/>
      <c r="I74" s="105"/>
      <c r="J74" s="419"/>
    </row>
    <row r="75" spans="1:10" s="44" customFormat="1" ht="15" x14ac:dyDescent="0.2">
      <c r="B75" s="321"/>
      <c r="C75" s="95"/>
      <c r="D75" s="288"/>
      <c r="E75" s="288"/>
      <c r="F75" s="289"/>
      <c r="G75" s="289"/>
      <c r="H75" s="418"/>
      <c r="I75" s="105"/>
      <c r="J75" s="419"/>
    </row>
    <row r="76" spans="1:10" s="44" customFormat="1" ht="15" x14ac:dyDescent="0.2">
      <c r="B76" s="321"/>
      <c r="C76" s="95"/>
      <c r="D76" s="288"/>
      <c r="E76" s="288"/>
      <c r="F76" s="289"/>
      <c r="G76" s="289"/>
      <c r="H76" s="418"/>
      <c r="I76" s="105"/>
      <c r="J76" s="419"/>
    </row>
    <row r="77" spans="1:10" s="44" customFormat="1" ht="15" x14ac:dyDescent="0.2">
      <c r="B77" s="321"/>
      <c r="C77" s="95"/>
      <c r="D77" s="288"/>
      <c r="E77" s="288"/>
      <c r="F77" s="289"/>
      <c r="G77" s="289"/>
      <c r="H77" s="418"/>
      <c r="I77" s="105"/>
      <c r="J77" s="419"/>
    </row>
    <row r="78" spans="1:10" s="44" customFormat="1" ht="15" x14ac:dyDescent="0.2">
      <c r="B78" s="321"/>
      <c r="C78" s="95"/>
      <c r="D78" s="288"/>
      <c r="E78" s="288"/>
      <c r="F78" s="289"/>
      <c r="G78" s="289"/>
      <c r="H78" s="418"/>
      <c r="I78" s="105"/>
      <c r="J78" s="419"/>
    </row>
    <row r="79" spans="1:10" s="44" customFormat="1" ht="15" x14ac:dyDescent="0.2">
      <c r="B79" s="321"/>
      <c r="C79" s="95"/>
      <c r="D79" s="288"/>
      <c r="E79" s="288"/>
      <c r="F79" s="289"/>
      <c r="G79" s="289"/>
      <c r="H79" s="418"/>
      <c r="I79" s="105"/>
      <c r="J79" s="419"/>
    </row>
    <row r="80" spans="1:10" s="44" customFormat="1" ht="15" x14ac:dyDescent="0.2">
      <c r="B80" s="321"/>
      <c r="C80" s="95"/>
      <c r="D80" s="288"/>
      <c r="E80" s="288"/>
      <c r="F80" s="289"/>
      <c r="G80" s="289"/>
      <c r="H80" s="418"/>
      <c r="I80" s="105"/>
      <c r="J80" s="419"/>
    </row>
    <row r="81" spans="2:10" s="44" customFormat="1" ht="15" x14ac:dyDescent="0.2">
      <c r="B81" s="321"/>
      <c r="C81" s="95"/>
      <c r="D81" s="288"/>
      <c r="E81" s="288"/>
      <c r="F81" s="289"/>
      <c r="G81" s="289"/>
      <c r="H81" s="418"/>
      <c r="I81" s="105"/>
      <c r="J81" s="419"/>
    </row>
    <row r="82" spans="2:10" s="44" customFormat="1" ht="15" x14ac:dyDescent="0.2">
      <c r="B82" s="321"/>
      <c r="C82" s="95"/>
      <c r="D82" s="288"/>
      <c r="E82" s="288"/>
      <c r="F82" s="289"/>
      <c r="G82" s="289"/>
      <c r="H82" s="418"/>
      <c r="I82" s="105"/>
      <c r="J82" s="419"/>
    </row>
    <row r="83" spans="2:10" s="44" customFormat="1" ht="15" x14ac:dyDescent="0.2">
      <c r="B83" s="321"/>
      <c r="C83" s="95"/>
      <c r="D83" s="288"/>
      <c r="E83" s="288"/>
      <c r="F83" s="289"/>
      <c r="G83" s="289"/>
      <c r="H83" s="418"/>
      <c r="I83" s="105"/>
      <c r="J83" s="419"/>
    </row>
    <row r="84" spans="2:10" s="44" customFormat="1" ht="15" x14ac:dyDescent="0.2">
      <c r="B84" s="321"/>
      <c r="C84" s="95"/>
      <c r="D84" s="288"/>
      <c r="E84" s="288"/>
      <c r="F84" s="289"/>
      <c r="G84" s="289"/>
      <c r="H84" s="418"/>
      <c r="I84" s="105"/>
      <c r="J84" s="419"/>
    </row>
    <row r="85" spans="2:10" s="44" customFormat="1" ht="15" x14ac:dyDescent="0.2">
      <c r="B85" s="321"/>
      <c r="C85" s="95"/>
      <c r="D85" s="288"/>
      <c r="E85" s="288"/>
      <c r="F85" s="289"/>
      <c r="G85" s="289"/>
      <c r="H85" s="418"/>
      <c r="I85" s="105"/>
      <c r="J85" s="419"/>
    </row>
    <row r="86" spans="2:10" s="44" customFormat="1" ht="15" x14ac:dyDescent="0.2">
      <c r="B86" s="321"/>
      <c r="C86" s="95"/>
      <c r="D86" s="288"/>
      <c r="E86" s="288"/>
      <c r="F86" s="289"/>
      <c r="G86" s="289"/>
      <c r="H86" s="418"/>
      <c r="I86" s="105"/>
      <c r="J86" s="419"/>
    </row>
    <row r="87" spans="2:10" s="44" customFormat="1" ht="15" x14ac:dyDescent="0.2">
      <c r="B87" s="321"/>
      <c r="C87" s="95"/>
      <c r="D87" s="288"/>
      <c r="E87" s="288"/>
      <c r="F87" s="289"/>
      <c r="G87" s="289"/>
      <c r="H87" s="418"/>
      <c r="I87" s="105"/>
      <c r="J87" s="419"/>
    </row>
    <row r="88" spans="2:10" s="44" customFormat="1" ht="15" x14ac:dyDescent="0.2">
      <c r="B88" s="321"/>
      <c r="C88" s="95"/>
      <c r="D88" s="288"/>
      <c r="E88" s="288"/>
      <c r="F88" s="289"/>
      <c r="G88" s="289"/>
      <c r="H88" s="418"/>
      <c r="I88" s="105"/>
      <c r="J88" s="419"/>
    </row>
    <row r="89" spans="2:10" s="44" customFormat="1" ht="15" x14ac:dyDescent="0.2">
      <c r="B89" s="321"/>
      <c r="C89" s="95"/>
      <c r="D89" s="288"/>
      <c r="E89" s="288"/>
      <c r="F89" s="289"/>
      <c r="G89" s="289"/>
      <c r="H89" s="418"/>
      <c r="I89" s="105"/>
      <c r="J89" s="419"/>
    </row>
    <row r="90" spans="2:10" s="44" customFormat="1" ht="15" x14ac:dyDescent="0.2">
      <c r="B90" s="321"/>
      <c r="C90" s="95"/>
      <c r="D90" s="288"/>
      <c r="E90" s="288"/>
      <c r="F90" s="289"/>
      <c r="G90" s="289"/>
      <c r="H90" s="418"/>
      <c r="I90" s="105"/>
      <c r="J90" s="419"/>
    </row>
    <row r="91" spans="2:10" s="44" customFormat="1" ht="15" x14ac:dyDescent="0.2">
      <c r="B91" s="321"/>
      <c r="C91" s="95"/>
      <c r="D91" s="288"/>
      <c r="E91" s="288"/>
      <c r="F91" s="289"/>
      <c r="G91" s="289"/>
      <c r="H91" s="418"/>
      <c r="I91" s="105"/>
      <c r="J91" s="419"/>
    </row>
    <row r="92" spans="2:10" s="44" customFormat="1" ht="15" x14ac:dyDescent="0.2">
      <c r="B92" s="321"/>
      <c r="C92" s="95"/>
      <c r="D92" s="288"/>
      <c r="E92" s="288"/>
      <c r="F92" s="289"/>
      <c r="G92" s="289"/>
      <c r="H92" s="418"/>
      <c r="I92" s="105"/>
      <c r="J92" s="419"/>
    </row>
    <row r="93" spans="2:10" s="44" customFormat="1" ht="15" x14ac:dyDescent="0.2">
      <c r="B93" s="321"/>
      <c r="C93" s="95"/>
      <c r="D93" s="288"/>
      <c r="E93" s="288"/>
      <c r="F93" s="289"/>
      <c r="G93" s="289"/>
      <c r="H93" s="418"/>
      <c r="I93" s="105"/>
      <c r="J93" s="419"/>
    </row>
    <row r="94" spans="2:10" s="44" customFormat="1" ht="15" x14ac:dyDescent="0.2">
      <c r="B94" s="321"/>
      <c r="C94" s="95"/>
      <c r="D94" s="288"/>
      <c r="E94" s="288"/>
      <c r="F94" s="289"/>
      <c r="G94" s="289"/>
      <c r="H94" s="418"/>
      <c r="I94" s="105"/>
      <c r="J94" s="419"/>
    </row>
    <row r="95" spans="2:10" s="44" customFormat="1" ht="15" x14ac:dyDescent="0.2">
      <c r="B95" s="321"/>
      <c r="C95" s="95"/>
      <c r="D95" s="288"/>
      <c r="E95" s="288"/>
      <c r="F95" s="289"/>
      <c r="G95" s="289"/>
      <c r="H95" s="418"/>
      <c r="I95" s="105"/>
      <c r="J95" s="419"/>
    </row>
    <row r="96" spans="2:10" s="44" customFormat="1" ht="15" x14ac:dyDescent="0.2">
      <c r="B96" s="321"/>
      <c r="C96" s="95"/>
      <c r="D96" s="288"/>
      <c r="E96" s="288"/>
      <c r="F96" s="289"/>
      <c r="G96" s="289"/>
      <c r="H96" s="418"/>
      <c r="I96" s="105"/>
      <c r="J96" s="419"/>
    </row>
    <row r="97" spans="2:10" s="44" customFormat="1" ht="15" x14ac:dyDescent="0.2">
      <c r="B97" s="321"/>
      <c r="C97" s="95"/>
      <c r="D97" s="288"/>
      <c r="E97" s="288"/>
      <c r="F97" s="289"/>
      <c r="G97" s="289"/>
      <c r="H97" s="418"/>
      <c r="I97" s="105"/>
      <c r="J97" s="419"/>
    </row>
    <row r="98" spans="2:10" s="44" customFormat="1" ht="15" x14ac:dyDescent="0.2">
      <c r="B98" s="321"/>
      <c r="C98" s="95"/>
      <c r="D98" s="288"/>
      <c r="E98" s="288"/>
      <c r="F98" s="289"/>
      <c r="G98" s="289"/>
      <c r="H98" s="418"/>
      <c r="I98" s="105"/>
      <c r="J98" s="419"/>
    </row>
    <row r="99" spans="2:10" s="44" customFormat="1" ht="15" x14ac:dyDescent="0.2">
      <c r="B99" s="321"/>
      <c r="C99" s="95"/>
      <c r="D99" s="288"/>
      <c r="E99" s="288"/>
      <c r="F99" s="289"/>
      <c r="G99" s="289"/>
      <c r="H99" s="418"/>
      <c r="I99" s="105"/>
      <c r="J99" s="419"/>
    </row>
    <row r="100" spans="2:10" s="44" customFormat="1" ht="15" x14ac:dyDescent="0.2">
      <c r="B100" s="321"/>
      <c r="C100" s="95"/>
      <c r="D100" s="288"/>
      <c r="E100" s="288"/>
      <c r="F100" s="289"/>
      <c r="G100" s="289"/>
      <c r="H100" s="418"/>
      <c r="I100" s="105"/>
      <c r="J100" s="419"/>
    </row>
    <row r="101" spans="2:10" s="44" customFormat="1" ht="15" x14ac:dyDescent="0.2">
      <c r="B101" s="321"/>
      <c r="C101" s="95"/>
      <c r="D101" s="288"/>
      <c r="E101" s="288"/>
      <c r="F101" s="289"/>
      <c r="G101" s="289"/>
      <c r="H101" s="418"/>
      <c r="I101" s="105"/>
      <c r="J101" s="419"/>
    </row>
    <row r="102" spans="2:10" s="44" customFormat="1" ht="15" x14ac:dyDescent="0.2">
      <c r="B102" s="321"/>
      <c r="C102" s="95"/>
      <c r="D102" s="288"/>
      <c r="E102" s="288"/>
      <c r="F102" s="289"/>
      <c r="G102" s="289"/>
      <c r="H102" s="418"/>
      <c r="I102" s="105"/>
      <c r="J102" s="419"/>
    </row>
    <row r="103" spans="2:10" s="44" customFormat="1" ht="15" x14ac:dyDescent="0.2">
      <c r="B103" s="321"/>
      <c r="C103" s="95"/>
      <c r="D103" s="288"/>
      <c r="E103" s="288"/>
      <c r="F103" s="289"/>
      <c r="G103" s="289"/>
      <c r="H103" s="418"/>
      <c r="I103" s="105"/>
      <c r="J103" s="419"/>
    </row>
    <row r="104" spans="2:10" s="44" customFormat="1" ht="15" x14ac:dyDescent="0.2">
      <c r="B104" s="321"/>
      <c r="C104" s="95"/>
      <c r="D104" s="288"/>
      <c r="E104" s="288"/>
      <c r="F104" s="289"/>
      <c r="G104" s="289"/>
      <c r="H104" s="418"/>
      <c r="I104" s="105"/>
      <c r="J104" s="419"/>
    </row>
    <row r="105" spans="2:10" s="44" customFormat="1" ht="15" x14ac:dyDescent="0.2">
      <c r="B105" s="321"/>
      <c r="C105" s="95"/>
      <c r="D105" s="288"/>
      <c r="E105" s="288"/>
      <c r="F105" s="289"/>
      <c r="G105" s="289"/>
      <c r="H105" s="418"/>
      <c r="I105" s="105"/>
      <c r="J105" s="419"/>
    </row>
    <row r="106" spans="2:10" s="44" customFormat="1" ht="15" x14ac:dyDescent="0.2">
      <c r="B106" s="321"/>
      <c r="C106" s="95"/>
      <c r="D106" s="288"/>
      <c r="E106" s="288"/>
      <c r="F106" s="289"/>
      <c r="G106" s="289"/>
      <c r="H106" s="418"/>
      <c r="I106" s="105"/>
      <c r="J106" s="419"/>
    </row>
    <row r="107" spans="2:10" s="44" customFormat="1" ht="15" x14ac:dyDescent="0.2">
      <c r="B107" s="321"/>
      <c r="C107" s="95"/>
      <c r="D107" s="288"/>
      <c r="E107" s="288"/>
      <c r="F107" s="289"/>
      <c r="G107" s="289"/>
      <c r="H107" s="418"/>
      <c r="I107" s="105"/>
      <c r="J107" s="419"/>
    </row>
    <row r="108" spans="2:10" s="44" customFormat="1" ht="15" x14ac:dyDescent="0.2">
      <c r="B108" s="321"/>
      <c r="C108" s="95"/>
      <c r="D108" s="288"/>
      <c r="E108" s="288"/>
      <c r="F108" s="289"/>
      <c r="G108" s="289"/>
      <c r="H108" s="418"/>
      <c r="I108" s="105"/>
      <c r="J108" s="419"/>
    </row>
    <row r="109" spans="2:10" s="44" customFormat="1" ht="15" x14ac:dyDescent="0.2">
      <c r="B109" s="321"/>
      <c r="C109" s="95"/>
      <c r="D109" s="288"/>
      <c r="E109" s="288"/>
      <c r="F109" s="289"/>
      <c r="G109" s="289"/>
      <c r="H109" s="418"/>
      <c r="I109" s="105"/>
      <c r="J109" s="419"/>
    </row>
    <row r="110" spans="2:10" s="44" customFormat="1" ht="15" x14ac:dyDescent="0.2">
      <c r="B110" s="321"/>
      <c r="C110" s="95"/>
      <c r="D110" s="288"/>
      <c r="E110" s="288"/>
      <c r="F110" s="289"/>
      <c r="G110" s="289"/>
      <c r="H110" s="418"/>
      <c r="I110" s="105"/>
      <c r="J110" s="419"/>
    </row>
    <row r="111" spans="2:10" s="44" customFormat="1" ht="15" x14ac:dyDescent="0.2">
      <c r="B111" s="321"/>
      <c r="C111" s="95"/>
      <c r="D111" s="288"/>
      <c r="E111" s="288"/>
      <c r="F111" s="289"/>
      <c r="G111" s="289"/>
      <c r="H111" s="418"/>
      <c r="I111" s="105"/>
      <c r="J111" s="419"/>
    </row>
    <row r="112" spans="2:10" s="44" customFormat="1" ht="15" x14ac:dyDescent="0.2">
      <c r="B112" s="321"/>
      <c r="C112" s="95"/>
      <c r="D112" s="288"/>
      <c r="E112" s="288"/>
      <c r="F112" s="289"/>
      <c r="G112" s="289"/>
      <c r="H112" s="418"/>
      <c r="I112" s="105"/>
      <c r="J112" s="419"/>
    </row>
    <row r="113" spans="2:10" s="44" customFormat="1" ht="15" x14ac:dyDescent="0.2">
      <c r="B113" s="321"/>
      <c r="C113" s="95"/>
      <c r="D113" s="288"/>
      <c r="E113" s="288"/>
      <c r="F113" s="289"/>
      <c r="G113" s="289"/>
      <c r="H113" s="418"/>
      <c r="I113" s="105"/>
      <c r="J113" s="419"/>
    </row>
    <row r="114" spans="2:10" s="44" customFormat="1" ht="15" x14ac:dyDescent="0.2">
      <c r="B114" s="321"/>
      <c r="C114" s="95"/>
      <c r="D114" s="288"/>
      <c r="E114" s="288"/>
      <c r="F114" s="289"/>
      <c r="G114" s="289"/>
      <c r="H114" s="418"/>
      <c r="I114" s="105"/>
      <c r="J114" s="419"/>
    </row>
    <row r="115" spans="2:10" s="44" customFormat="1" ht="15" x14ac:dyDescent="0.2">
      <c r="B115" s="321"/>
      <c r="C115" s="95"/>
      <c r="D115" s="288"/>
      <c r="E115" s="288"/>
      <c r="F115" s="289"/>
      <c r="G115" s="289"/>
      <c r="H115" s="418"/>
      <c r="I115" s="105"/>
      <c r="J115" s="419"/>
    </row>
    <row r="116" spans="2:10" s="44" customFormat="1" ht="15" x14ac:dyDescent="0.2">
      <c r="B116" s="321"/>
      <c r="C116" s="95"/>
      <c r="D116" s="288"/>
      <c r="E116" s="288"/>
      <c r="F116" s="289"/>
      <c r="G116" s="289"/>
      <c r="H116" s="418"/>
      <c r="I116" s="105"/>
      <c r="J116" s="419"/>
    </row>
    <row r="117" spans="2:10" s="44" customFormat="1" ht="15" x14ac:dyDescent="0.2">
      <c r="B117" s="321"/>
      <c r="C117" s="95"/>
      <c r="D117" s="288"/>
      <c r="E117" s="288"/>
      <c r="F117" s="289"/>
      <c r="G117" s="289"/>
      <c r="H117" s="418"/>
      <c r="I117" s="105"/>
      <c r="J117" s="419"/>
    </row>
    <row r="118" spans="2:10" s="44" customFormat="1" ht="15" x14ac:dyDescent="0.2">
      <c r="B118" s="321"/>
      <c r="C118" s="95"/>
      <c r="D118" s="288"/>
      <c r="E118" s="288"/>
      <c r="F118" s="289"/>
      <c r="G118" s="289"/>
      <c r="H118" s="418"/>
      <c r="I118" s="105"/>
      <c r="J118" s="419"/>
    </row>
    <row r="119" spans="2:10" s="44" customFormat="1" ht="15" x14ac:dyDescent="0.2">
      <c r="B119" s="321"/>
      <c r="C119" s="95"/>
      <c r="D119" s="288"/>
      <c r="E119" s="288"/>
      <c r="F119" s="289"/>
      <c r="G119" s="289"/>
      <c r="H119" s="418"/>
      <c r="I119" s="105"/>
      <c r="J119" s="419"/>
    </row>
    <row r="120" spans="2:10" s="44" customFormat="1" ht="15" x14ac:dyDescent="0.2">
      <c r="B120" s="321"/>
      <c r="C120" s="95"/>
      <c r="D120" s="288"/>
      <c r="E120" s="288"/>
      <c r="F120" s="289"/>
      <c r="G120" s="289"/>
      <c r="H120" s="418"/>
      <c r="I120" s="105"/>
      <c r="J120" s="419"/>
    </row>
    <row r="121" spans="2:10" s="44" customFormat="1" ht="15" x14ac:dyDescent="0.2">
      <c r="B121" s="321"/>
      <c r="C121" s="95"/>
      <c r="D121" s="288"/>
      <c r="E121" s="288"/>
      <c r="F121" s="289"/>
      <c r="G121" s="289"/>
      <c r="H121" s="418"/>
      <c r="I121" s="105"/>
      <c r="J121" s="419"/>
    </row>
    <row r="122" spans="2:10" s="44" customFormat="1" ht="15" x14ac:dyDescent="0.2">
      <c r="B122" s="321"/>
      <c r="C122" s="95"/>
      <c r="D122" s="288"/>
      <c r="E122" s="288"/>
      <c r="F122" s="289"/>
      <c r="G122" s="289"/>
      <c r="H122" s="418"/>
      <c r="I122" s="105"/>
      <c r="J122" s="419"/>
    </row>
    <row r="123" spans="2:10" s="44" customFormat="1" ht="15" x14ac:dyDescent="0.2">
      <c r="B123" s="321"/>
      <c r="C123" s="95"/>
      <c r="D123" s="288"/>
      <c r="E123" s="288"/>
      <c r="F123" s="289"/>
      <c r="G123" s="289"/>
      <c r="H123" s="418"/>
      <c r="I123" s="105"/>
      <c r="J123" s="419"/>
    </row>
    <row r="124" spans="2:10" s="44" customFormat="1" ht="15" x14ac:dyDescent="0.2">
      <c r="B124" s="321"/>
      <c r="C124" s="95"/>
      <c r="D124" s="288"/>
      <c r="E124" s="288"/>
      <c r="F124" s="289"/>
      <c r="G124" s="289"/>
      <c r="H124" s="418"/>
      <c r="I124" s="105"/>
      <c r="J124" s="419"/>
    </row>
    <row r="125" spans="2:10" s="44" customFormat="1" ht="15" x14ac:dyDescent="0.2">
      <c r="B125" s="321"/>
      <c r="C125" s="95"/>
      <c r="D125" s="288"/>
      <c r="E125" s="288"/>
      <c r="F125" s="289"/>
      <c r="G125" s="289"/>
      <c r="H125" s="418"/>
      <c r="I125" s="105"/>
      <c r="J125" s="419"/>
    </row>
    <row r="126" spans="2:10" s="44" customFormat="1" ht="15" x14ac:dyDescent="0.2">
      <c r="B126" s="321"/>
      <c r="C126" s="95"/>
      <c r="D126" s="288"/>
      <c r="E126" s="288"/>
      <c r="F126" s="289"/>
      <c r="G126" s="289"/>
      <c r="H126" s="418"/>
      <c r="I126" s="105"/>
      <c r="J126" s="419"/>
    </row>
    <row r="127" spans="2:10" s="44" customFormat="1" ht="15" x14ac:dyDescent="0.2">
      <c r="B127" s="321"/>
      <c r="C127" s="95"/>
      <c r="D127" s="288"/>
      <c r="E127" s="288"/>
      <c r="F127" s="289"/>
      <c r="G127" s="289"/>
      <c r="H127" s="418"/>
      <c r="I127" s="105"/>
      <c r="J127" s="419"/>
    </row>
    <row r="128" spans="2:10" s="44" customFormat="1" ht="15" x14ac:dyDescent="0.2">
      <c r="B128" s="321"/>
      <c r="C128" s="95"/>
      <c r="D128" s="288"/>
      <c r="E128" s="288"/>
      <c r="F128" s="289"/>
      <c r="G128" s="289"/>
      <c r="H128" s="418"/>
      <c r="I128" s="105"/>
      <c r="J128" s="419"/>
    </row>
    <row r="129" spans="2:10" s="44" customFormat="1" ht="15" x14ac:dyDescent="0.2">
      <c r="B129" s="321"/>
      <c r="C129" s="95"/>
      <c r="D129" s="288"/>
      <c r="E129" s="288"/>
      <c r="F129" s="289"/>
      <c r="G129" s="289"/>
      <c r="H129" s="418"/>
      <c r="I129" s="105"/>
      <c r="J129" s="419"/>
    </row>
    <row r="130" spans="2:10" s="44" customFormat="1" ht="15" x14ac:dyDescent="0.2">
      <c r="B130" s="321"/>
      <c r="C130" s="95"/>
      <c r="D130" s="288"/>
      <c r="E130" s="288"/>
      <c r="F130" s="289"/>
      <c r="G130" s="289"/>
      <c r="H130" s="418"/>
      <c r="I130" s="105"/>
      <c r="J130" s="419"/>
    </row>
    <row r="131" spans="2:10" s="44" customFormat="1" ht="15" x14ac:dyDescent="0.2">
      <c r="B131" s="321"/>
      <c r="C131" s="95"/>
      <c r="D131" s="288"/>
      <c r="E131" s="288"/>
      <c r="F131" s="289"/>
      <c r="G131" s="289"/>
      <c r="H131" s="418"/>
      <c r="I131" s="105"/>
      <c r="J131" s="419"/>
    </row>
    <row r="132" spans="2:10" s="44" customFormat="1" ht="15" x14ac:dyDescent="0.2">
      <c r="B132" s="321"/>
      <c r="C132" s="95"/>
      <c r="D132" s="288"/>
      <c r="E132" s="288"/>
      <c r="F132" s="289"/>
      <c r="G132" s="289"/>
      <c r="H132" s="418"/>
      <c r="I132" s="105"/>
      <c r="J132" s="419"/>
    </row>
    <row r="133" spans="2:10" s="44" customFormat="1" ht="15" x14ac:dyDescent="0.2">
      <c r="B133" s="321"/>
      <c r="C133" s="95"/>
      <c r="D133" s="288"/>
      <c r="E133" s="288"/>
      <c r="F133" s="289"/>
      <c r="G133" s="289"/>
      <c r="H133" s="418"/>
      <c r="I133" s="105"/>
      <c r="J133" s="419"/>
    </row>
    <row r="134" spans="2:10" s="44" customFormat="1" ht="15" x14ac:dyDescent="0.2">
      <c r="B134" s="321"/>
      <c r="C134" s="95"/>
      <c r="D134" s="288"/>
      <c r="E134" s="288"/>
      <c r="F134" s="289"/>
      <c r="G134" s="289"/>
      <c r="H134" s="418"/>
      <c r="I134" s="105"/>
      <c r="J134" s="419"/>
    </row>
    <row r="135" spans="2:10" s="44" customFormat="1" ht="15" x14ac:dyDescent="0.2">
      <c r="B135" s="321"/>
      <c r="C135" s="95"/>
      <c r="D135" s="288"/>
      <c r="E135" s="288"/>
      <c r="F135" s="289"/>
      <c r="G135" s="289"/>
      <c r="H135" s="418"/>
      <c r="I135" s="105"/>
      <c r="J135" s="419"/>
    </row>
    <row r="136" spans="2:10" s="44" customFormat="1" ht="15" x14ac:dyDescent="0.2">
      <c r="B136" s="321"/>
      <c r="C136" s="95"/>
      <c r="D136" s="288"/>
      <c r="E136" s="288"/>
      <c r="F136" s="289"/>
      <c r="G136" s="289"/>
      <c r="H136" s="418"/>
      <c r="I136" s="105"/>
      <c r="J136" s="419"/>
    </row>
    <row r="137" spans="2:10" s="44" customFormat="1" ht="15" x14ac:dyDescent="0.2">
      <c r="B137" s="321"/>
      <c r="C137" s="95"/>
      <c r="D137" s="288"/>
      <c r="E137" s="288"/>
      <c r="F137" s="289"/>
      <c r="G137" s="289"/>
      <c r="H137" s="418"/>
      <c r="I137" s="105"/>
      <c r="J137" s="419"/>
    </row>
    <row r="138" spans="2:10" s="44" customFormat="1" ht="15" x14ac:dyDescent="0.2">
      <c r="B138" s="321"/>
      <c r="C138" s="95"/>
      <c r="D138" s="288"/>
      <c r="E138" s="288"/>
      <c r="F138" s="289"/>
      <c r="G138" s="289"/>
      <c r="H138" s="418"/>
      <c r="I138" s="105"/>
      <c r="J138" s="419"/>
    </row>
    <row r="139" spans="2:10" s="44" customFormat="1" ht="15" x14ac:dyDescent="0.2">
      <c r="B139" s="321"/>
      <c r="C139" s="95"/>
      <c r="D139" s="288"/>
      <c r="E139" s="288"/>
      <c r="F139" s="289"/>
      <c r="G139" s="289"/>
      <c r="H139" s="418"/>
      <c r="I139" s="105"/>
      <c r="J139" s="419"/>
    </row>
    <row r="140" spans="2:10" s="44" customFormat="1" ht="15" x14ac:dyDescent="0.2">
      <c r="B140" s="321"/>
      <c r="C140" s="95"/>
      <c r="D140" s="288"/>
      <c r="E140" s="288"/>
      <c r="F140" s="289"/>
      <c r="G140" s="289"/>
      <c r="H140" s="418"/>
      <c r="I140" s="105"/>
      <c r="J140" s="419"/>
    </row>
    <row r="141" spans="2:10" s="44" customFormat="1" ht="15" x14ac:dyDescent="0.2">
      <c r="B141" s="321"/>
      <c r="C141" s="95"/>
      <c r="D141" s="288"/>
      <c r="E141" s="288"/>
      <c r="F141" s="289"/>
      <c r="G141" s="289"/>
      <c r="H141" s="418"/>
      <c r="I141" s="105"/>
      <c r="J141" s="419"/>
    </row>
    <row r="142" spans="2:10" s="44" customFormat="1" ht="15" x14ac:dyDescent="0.2">
      <c r="B142" s="321"/>
      <c r="C142" s="95"/>
      <c r="D142" s="288"/>
      <c r="E142" s="288"/>
      <c r="F142" s="289"/>
      <c r="G142" s="289"/>
      <c r="H142" s="418"/>
      <c r="I142" s="105"/>
      <c r="J142" s="419"/>
    </row>
    <row r="143" spans="2:10" s="44" customFormat="1" ht="15" x14ac:dyDescent="0.2">
      <c r="B143" s="321"/>
      <c r="C143" s="95"/>
      <c r="D143" s="288"/>
      <c r="E143" s="288"/>
      <c r="F143" s="289"/>
      <c r="G143" s="289"/>
      <c r="H143" s="418"/>
      <c r="I143" s="105"/>
      <c r="J143" s="419"/>
    </row>
    <row r="144" spans="2:10" s="44" customFormat="1" ht="15" x14ac:dyDescent="0.2">
      <c r="B144" s="321"/>
      <c r="C144" s="95"/>
      <c r="D144" s="288"/>
      <c r="E144" s="288"/>
      <c r="F144" s="289"/>
      <c r="G144" s="289"/>
      <c r="H144" s="418"/>
      <c r="I144" s="105"/>
      <c r="J144" s="419"/>
    </row>
    <row r="145" spans="2:10" s="44" customFormat="1" ht="15" x14ac:dyDescent="0.2">
      <c r="B145" s="321"/>
      <c r="C145" s="95"/>
      <c r="D145" s="288"/>
      <c r="E145" s="288"/>
      <c r="F145" s="289"/>
      <c r="G145" s="289"/>
      <c r="H145" s="418"/>
      <c r="I145" s="105"/>
      <c r="J145" s="419"/>
    </row>
    <row r="146" spans="2:10" s="44" customFormat="1" ht="15" x14ac:dyDescent="0.2">
      <c r="B146" s="321"/>
      <c r="C146" s="95"/>
      <c r="D146" s="288"/>
      <c r="E146" s="288"/>
      <c r="F146" s="289"/>
      <c r="G146" s="289"/>
      <c r="H146" s="418"/>
      <c r="I146" s="105"/>
      <c r="J146" s="419"/>
    </row>
    <row r="147" spans="2:10" s="44" customFormat="1" ht="15" x14ac:dyDescent="0.2">
      <c r="B147" s="321"/>
      <c r="C147" s="95"/>
      <c r="D147" s="288"/>
      <c r="E147" s="288"/>
      <c r="F147" s="289"/>
      <c r="G147" s="289"/>
      <c r="H147" s="418"/>
      <c r="I147" s="105"/>
      <c r="J147" s="419"/>
    </row>
    <row r="148" spans="2:10" s="44" customFormat="1" ht="15" x14ac:dyDescent="0.2">
      <c r="B148" s="321"/>
      <c r="C148" s="95"/>
      <c r="D148" s="288"/>
      <c r="E148" s="288"/>
      <c r="F148" s="289"/>
      <c r="G148" s="289"/>
      <c r="H148" s="418"/>
      <c r="I148" s="105"/>
      <c r="J148" s="419"/>
    </row>
    <row r="149" spans="2:10" s="44" customFormat="1" ht="15" x14ac:dyDescent="0.2">
      <c r="B149" s="321"/>
      <c r="C149" s="95"/>
      <c r="D149" s="288"/>
      <c r="E149" s="288"/>
      <c r="F149" s="289"/>
      <c r="G149" s="289"/>
      <c r="H149" s="418"/>
      <c r="I149" s="105"/>
      <c r="J149" s="419"/>
    </row>
    <row r="150" spans="2:10" s="44" customFormat="1" ht="15" x14ac:dyDescent="0.2">
      <c r="B150" s="321"/>
      <c r="C150" s="95"/>
      <c r="D150" s="288"/>
      <c r="E150" s="288"/>
      <c r="F150" s="289"/>
      <c r="G150" s="289"/>
      <c r="H150" s="418"/>
      <c r="I150" s="105"/>
      <c r="J150" s="419"/>
    </row>
    <row r="151" spans="2:10" s="44" customFormat="1" ht="15" x14ac:dyDescent="0.2">
      <c r="B151" s="321"/>
      <c r="C151" s="95"/>
      <c r="D151" s="288"/>
      <c r="E151" s="288"/>
      <c r="F151" s="289"/>
      <c r="G151" s="289"/>
      <c r="H151" s="418"/>
      <c r="I151" s="105"/>
      <c r="J151" s="419"/>
    </row>
    <row r="152" spans="2:10" s="44" customFormat="1" ht="15" x14ac:dyDescent="0.2">
      <c r="B152" s="321"/>
      <c r="C152" s="95"/>
      <c r="D152" s="288"/>
      <c r="E152" s="288"/>
      <c r="F152" s="289"/>
      <c r="G152" s="289"/>
      <c r="H152" s="418"/>
      <c r="I152" s="105"/>
      <c r="J152" s="419"/>
    </row>
    <row r="153" spans="2:10" s="44" customFormat="1" ht="15" x14ac:dyDescent="0.2">
      <c r="B153" s="321"/>
      <c r="C153" s="95"/>
      <c r="D153" s="288"/>
      <c r="E153" s="288"/>
      <c r="F153" s="289"/>
      <c r="G153" s="289"/>
      <c r="H153" s="418"/>
      <c r="I153" s="105"/>
      <c r="J153" s="419"/>
    </row>
    <row r="154" spans="2:10" s="44" customFormat="1" ht="15" x14ac:dyDescent="0.2">
      <c r="B154" s="321"/>
      <c r="C154" s="95"/>
      <c r="D154" s="288"/>
      <c r="E154" s="288"/>
      <c r="F154" s="289"/>
      <c r="G154" s="289"/>
      <c r="H154" s="418"/>
      <c r="I154" s="105"/>
      <c r="J154" s="419"/>
    </row>
    <row r="155" spans="2:10" s="44" customFormat="1" x14ac:dyDescent="0.2">
      <c r="B155" s="456"/>
      <c r="C155" s="105"/>
      <c r="D155" s="289"/>
      <c r="E155" s="289"/>
      <c r="F155" s="289"/>
      <c r="G155" s="289"/>
      <c r="H155" s="289"/>
      <c r="I155" s="105"/>
      <c r="J155" s="419"/>
    </row>
    <row r="156" spans="2:10" s="44" customFormat="1" x14ac:dyDescent="0.2">
      <c r="B156" s="456"/>
      <c r="C156" s="105"/>
      <c r="D156" s="289"/>
      <c r="E156" s="289"/>
      <c r="F156" s="289"/>
      <c r="G156" s="289"/>
      <c r="H156" s="289"/>
      <c r="I156" s="105"/>
      <c r="J156" s="419"/>
    </row>
    <row r="157" spans="2:10" s="44" customFormat="1" x14ac:dyDescent="0.2">
      <c r="B157" s="456"/>
      <c r="C157" s="105"/>
      <c r="D157" s="289"/>
      <c r="E157" s="289"/>
      <c r="F157" s="289"/>
      <c r="G157" s="289"/>
      <c r="H157" s="289"/>
      <c r="I157" s="105"/>
      <c r="J157" s="419"/>
    </row>
    <row r="158" spans="2:10" s="44" customFormat="1" x14ac:dyDescent="0.2">
      <c r="B158" s="456"/>
      <c r="C158" s="105"/>
      <c r="D158" s="289"/>
      <c r="E158" s="289"/>
      <c r="F158" s="289"/>
      <c r="G158" s="289"/>
      <c r="H158" s="289"/>
      <c r="I158" s="105"/>
      <c r="J158" s="419"/>
    </row>
    <row r="159" spans="2:10" s="44" customFormat="1" x14ac:dyDescent="0.2">
      <c r="B159" s="456"/>
      <c r="C159" s="105"/>
      <c r="D159" s="289"/>
      <c r="E159" s="289"/>
      <c r="F159" s="289"/>
      <c r="G159" s="289"/>
      <c r="H159" s="289"/>
      <c r="I159" s="105"/>
      <c r="J159" s="419"/>
    </row>
    <row r="160" spans="2:10" s="44" customFormat="1" x14ac:dyDescent="0.2">
      <c r="B160" s="456"/>
      <c r="C160" s="105"/>
      <c r="D160" s="289"/>
      <c r="E160" s="289"/>
      <c r="F160" s="289"/>
      <c r="G160" s="289"/>
      <c r="H160" s="289"/>
      <c r="I160" s="105"/>
      <c r="J160" s="419"/>
    </row>
    <row r="161" spans="2:10" s="44" customFormat="1" x14ac:dyDescent="0.2">
      <c r="B161" s="456"/>
      <c r="C161" s="105"/>
      <c r="D161" s="289"/>
      <c r="E161" s="289"/>
      <c r="F161" s="289"/>
      <c r="G161" s="289"/>
      <c r="H161" s="289"/>
      <c r="I161" s="105"/>
      <c r="J161" s="419"/>
    </row>
    <row r="162" spans="2:10" s="44" customFormat="1" x14ac:dyDescent="0.2">
      <c r="B162" s="456"/>
      <c r="C162" s="105"/>
      <c r="D162" s="289"/>
      <c r="E162" s="289"/>
      <c r="F162" s="289"/>
      <c r="G162" s="289"/>
      <c r="H162" s="289"/>
      <c r="I162" s="105"/>
      <c r="J162" s="419"/>
    </row>
    <row r="163" spans="2:10" s="44" customFormat="1" x14ac:dyDescent="0.2">
      <c r="B163" s="456"/>
      <c r="C163" s="105"/>
      <c r="D163" s="289"/>
      <c r="E163" s="289"/>
      <c r="F163" s="289"/>
      <c r="G163" s="289"/>
      <c r="H163" s="289"/>
      <c r="I163" s="105"/>
      <c r="J163" s="419"/>
    </row>
    <row r="164" spans="2:10" s="44" customFormat="1" x14ac:dyDescent="0.2">
      <c r="B164" s="456"/>
      <c r="C164" s="105"/>
      <c r="D164" s="289"/>
      <c r="E164" s="289"/>
      <c r="F164" s="289"/>
      <c r="G164" s="289"/>
      <c r="H164" s="289"/>
      <c r="I164" s="105"/>
      <c r="J164" s="419"/>
    </row>
    <row r="165" spans="2:10" s="44" customFormat="1" x14ac:dyDescent="0.2">
      <c r="B165" s="456"/>
      <c r="C165" s="105"/>
      <c r="D165" s="289"/>
      <c r="E165" s="289"/>
      <c r="F165" s="289"/>
      <c r="G165" s="289"/>
      <c r="H165" s="289"/>
      <c r="I165" s="105"/>
      <c r="J165" s="419"/>
    </row>
    <row r="166" spans="2:10" s="44" customFormat="1" x14ac:dyDescent="0.2">
      <c r="B166" s="456"/>
      <c r="C166" s="105"/>
      <c r="D166" s="289"/>
      <c r="E166" s="289"/>
      <c r="F166" s="289"/>
      <c r="G166" s="289"/>
      <c r="H166" s="289"/>
      <c r="I166" s="105"/>
      <c r="J166" s="419"/>
    </row>
    <row r="167" spans="2:10" s="44" customFormat="1" x14ac:dyDescent="0.2">
      <c r="B167" s="456"/>
      <c r="C167" s="105"/>
      <c r="D167" s="289"/>
      <c r="E167" s="289"/>
      <c r="F167" s="289"/>
      <c r="G167" s="289"/>
      <c r="H167" s="289"/>
      <c r="I167" s="105"/>
      <c r="J167" s="419"/>
    </row>
    <row r="168" spans="2:10" s="44" customFormat="1" x14ac:dyDescent="0.2">
      <c r="B168" s="456"/>
      <c r="C168" s="105"/>
      <c r="D168" s="289"/>
      <c r="E168" s="289"/>
      <c r="F168" s="289"/>
      <c r="G168" s="289"/>
      <c r="H168" s="289"/>
      <c r="I168" s="105"/>
      <c r="J168" s="419"/>
    </row>
    <row r="169" spans="2:10" s="44" customFormat="1" x14ac:dyDescent="0.2">
      <c r="B169" s="456"/>
      <c r="C169" s="105"/>
      <c r="D169" s="289"/>
      <c r="E169" s="289"/>
      <c r="F169" s="289"/>
      <c r="G169" s="289"/>
      <c r="H169" s="289"/>
      <c r="I169" s="105"/>
      <c r="J169" s="419"/>
    </row>
    <row r="170" spans="2:10" s="44" customFormat="1" x14ac:dyDescent="0.2">
      <c r="B170" s="456"/>
      <c r="C170" s="105"/>
      <c r="D170" s="289"/>
      <c r="E170" s="289"/>
      <c r="F170" s="289"/>
      <c r="G170" s="289"/>
      <c r="H170" s="289"/>
      <c r="I170" s="105"/>
      <c r="J170" s="419"/>
    </row>
    <row r="171" spans="2:10" s="44" customFormat="1" x14ac:dyDescent="0.2">
      <c r="B171" s="456"/>
      <c r="C171" s="105"/>
      <c r="D171" s="289"/>
      <c r="E171" s="289"/>
      <c r="F171" s="289"/>
      <c r="G171" s="289"/>
      <c r="H171" s="289"/>
      <c r="I171" s="105"/>
      <c r="J171" s="419"/>
    </row>
    <row r="172" spans="2:10" s="44" customFormat="1" x14ac:dyDescent="0.2">
      <c r="B172" s="456"/>
      <c r="C172" s="105"/>
      <c r="D172" s="289"/>
      <c r="E172" s="289"/>
      <c r="F172" s="289"/>
      <c r="G172" s="289"/>
      <c r="H172" s="289"/>
      <c r="I172" s="105"/>
      <c r="J172" s="419"/>
    </row>
    <row r="173" spans="2:10" s="44" customFormat="1" x14ac:dyDescent="0.2">
      <c r="B173" s="456"/>
      <c r="C173" s="105"/>
      <c r="D173" s="289"/>
      <c r="E173" s="289"/>
      <c r="F173" s="289"/>
      <c r="G173" s="289"/>
      <c r="H173" s="289"/>
      <c r="I173" s="105"/>
      <c r="J173" s="419"/>
    </row>
    <row r="174" spans="2:10" s="44" customFormat="1" x14ac:dyDescent="0.2">
      <c r="B174" s="456"/>
      <c r="C174" s="105"/>
      <c r="D174" s="289"/>
      <c r="E174" s="289"/>
      <c r="F174" s="289"/>
      <c r="G174" s="289"/>
      <c r="H174" s="289"/>
      <c r="I174" s="105"/>
      <c r="J174" s="419"/>
    </row>
    <row r="175" spans="2:10" s="44" customFormat="1" x14ac:dyDescent="0.2">
      <c r="B175" s="456"/>
      <c r="C175" s="105"/>
      <c r="D175" s="289"/>
      <c r="E175" s="289"/>
      <c r="F175" s="289"/>
      <c r="G175" s="289"/>
      <c r="H175" s="289"/>
      <c r="I175" s="105"/>
      <c r="J175" s="419"/>
    </row>
    <row r="176" spans="2:10" s="44" customFormat="1" x14ac:dyDescent="0.2">
      <c r="B176" s="456"/>
      <c r="C176" s="105"/>
      <c r="D176" s="289"/>
      <c r="E176" s="289"/>
      <c r="F176" s="289"/>
      <c r="G176" s="289"/>
      <c r="H176" s="289"/>
      <c r="I176" s="105"/>
      <c r="J176" s="419"/>
    </row>
    <row r="177" spans="2:10" s="44" customFormat="1" x14ac:dyDescent="0.2">
      <c r="B177" s="456"/>
      <c r="C177" s="105"/>
      <c r="D177" s="289"/>
      <c r="E177" s="289"/>
      <c r="F177" s="289"/>
      <c r="G177" s="289"/>
      <c r="H177" s="289"/>
      <c r="I177" s="105"/>
      <c r="J177" s="419"/>
    </row>
    <row r="178" spans="2:10" s="44" customFormat="1" x14ac:dyDescent="0.2">
      <c r="B178" s="456"/>
      <c r="C178" s="105"/>
      <c r="D178" s="289"/>
      <c r="E178" s="289"/>
      <c r="F178" s="289"/>
      <c r="G178" s="289"/>
      <c r="H178" s="289"/>
      <c r="I178" s="105"/>
      <c r="J178" s="419"/>
    </row>
    <row r="179" spans="2:10" s="44" customFormat="1" x14ac:dyDescent="0.2">
      <c r="B179" s="456"/>
      <c r="C179" s="105"/>
      <c r="D179" s="289"/>
      <c r="E179" s="289"/>
      <c r="F179" s="289"/>
      <c r="G179" s="289"/>
      <c r="H179" s="289"/>
      <c r="I179" s="105"/>
      <c r="J179" s="419"/>
    </row>
    <row r="180" spans="2:10" s="44" customFormat="1" x14ac:dyDescent="0.2">
      <c r="B180" s="456"/>
      <c r="C180" s="105"/>
      <c r="D180" s="289"/>
      <c r="E180" s="289"/>
      <c r="F180" s="289"/>
      <c r="G180" s="289"/>
      <c r="H180" s="289"/>
      <c r="I180" s="105"/>
      <c r="J180" s="419"/>
    </row>
    <row r="181" spans="2:10" s="44" customFormat="1" x14ac:dyDescent="0.2">
      <c r="B181" s="456"/>
      <c r="C181" s="105"/>
      <c r="D181" s="289"/>
      <c r="E181" s="289"/>
      <c r="F181" s="289"/>
      <c r="G181" s="289"/>
      <c r="H181" s="289"/>
      <c r="I181" s="105"/>
      <c r="J181" s="419"/>
    </row>
    <row r="182" spans="2:10" s="44" customFormat="1" x14ac:dyDescent="0.2">
      <c r="B182" s="456"/>
      <c r="C182" s="105"/>
      <c r="D182" s="289"/>
      <c r="E182" s="289"/>
      <c r="F182" s="289"/>
      <c r="G182" s="289"/>
      <c r="H182" s="289"/>
      <c r="I182" s="105"/>
      <c r="J182" s="419"/>
    </row>
    <row r="183" spans="2:10" s="44" customFormat="1" x14ac:dyDescent="0.2">
      <c r="B183" s="456"/>
      <c r="C183" s="105"/>
      <c r="D183" s="289"/>
      <c r="E183" s="289"/>
      <c r="F183" s="289"/>
      <c r="G183" s="289"/>
      <c r="H183" s="289"/>
      <c r="I183" s="105"/>
      <c r="J183" s="419"/>
    </row>
    <row r="184" spans="2:10" s="44" customFormat="1" x14ac:dyDescent="0.2">
      <c r="B184" s="456"/>
      <c r="C184" s="105"/>
      <c r="D184" s="289"/>
      <c r="E184" s="289"/>
      <c r="F184" s="289"/>
      <c r="G184" s="289"/>
      <c r="H184" s="289"/>
      <c r="I184" s="105"/>
      <c r="J184" s="419"/>
    </row>
    <row r="185" spans="2:10" s="44" customFormat="1" x14ac:dyDescent="0.2">
      <c r="B185" s="456"/>
      <c r="C185" s="105"/>
      <c r="D185" s="289"/>
      <c r="E185" s="289"/>
      <c r="F185" s="289"/>
      <c r="G185" s="289"/>
      <c r="H185" s="289"/>
      <c r="I185" s="105"/>
      <c r="J185" s="419"/>
    </row>
    <row r="186" spans="2:10" s="44" customFormat="1" x14ac:dyDescent="0.2">
      <c r="B186" s="456"/>
      <c r="C186" s="105"/>
      <c r="D186" s="289"/>
      <c r="E186" s="289"/>
      <c r="F186" s="289"/>
      <c r="G186" s="289"/>
      <c r="H186" s="289"/>
      <c r="I186" s="105"/>
      <c r="J186" s="419"/>
    </row>
    <row r="187" spans="2:10" s="44" customFormat="1" x14ac:dyDescent="0.2">
      <c r="B187" s="456"/>
      <c r="C187" s="105"/>
      <c r="D187" s="289"/>
      <c r="E187" s="289"/>
      <c r="F187" s="289"/>
      <c r="G187" s="289"/>
      <c r="H187" s="289"/>
      <c r="I187" s="105"/>
      <c r="J187" s="419"/>
    </row>
    <row r="188" spans="2:10" s="44" customFormat="1" x14ac:dyDescent="0.2">
      <c r="B188" s="456"/>
      <c r="C188" s="105"/>
      <c r="D188" s="289"/>
      <c r="E188" s="289"/>
      <c r="F188" s="289"/>
      <c r="G188" s="289"/>
      <c r="H188" s="289"/>
      <c r="I188" s="105"/>
      <c r="J188" s="419"/>
    </row>
    <row r="189" spans="2:10" s="44" customFormat="1" x14ac:dyDescent="0.2">
      <c r="B189" s="456"/>
      <c r="C189" s="105"/>
      <c r="D189" s="289"/>
      <c r="E189" s="289"/>
      <c r="F189" s="289"/>
      <c r="G189" s="289"/>
      <c r="H189" s="289"/>
      <c r="I189" s="105"/>
      <c r="J189" s="419"/>
    </row>
    <row r="190" spans="2:10" s="44" customFormat="1" x14ac:dyDescent="0.2">
      <c r="B190" s="456"/>
      <c r="C190" s="105"/>
      <c r="D190" s="289"/>
      <c r="E190" s="289"/>
      <c r="F190" s="289"/>
      <c r="G190" s="289"/>
      <c r="H190" s="289"/>
      <c r="I190" s="105"/>
      <c r="J190" s="419"/>
    </row>
    <row r="191" spans="2:10" s="44" customFormat="1" x14ac:dyDescent="0.2">
      <c r="B191" s="456"/>
      <c r="C191" s="105"/>
      <c r="D191" s="289"/>
      <c r="E191" s="289"/>
      <c r="F191" s="289"/>
      <c r="G191" s="289"/>
      <c r="H191" s="289"/>
      <c r="I191" s="105"/>
      <c r="J191" s="419"/>
    </row>
    <row r="192" spans="2:10" s="44" customFormat="1" x14ac:dyDescent="0.2">
      <c r="B192" s="456"/>
      <c r="C192" s="105"/>
      <c r="D192" s="289"/>
      <c r="E192" s="289"/>
      <c r="F192" s="289"/>
      <c r="G192" s="289"/>
      <c r="H192" s="289"/>
      <c r="I192" s="105"/>
      <c r="J192" s="419"/>
    </row>
    <row r="193" spans="2:10" s="44" customFormat="1" x14ac:dyDescent="0.2">
      <c r="B193" s="456"/>
      <c r="C193" s="105"/>
      <c r="D193" s="289"/>
      <c r="E193" s="289"/>
      <c r="F193" s="289"/>
      <c r="G193" s="289"/>
      <c r="H193" s="289"/>
      <c r="I193" s="105"/>
      <c r="J193" s="419"/>
    </row>
    <row r="194" spans="2:10" s="44" customFormat="1" x14ac:dyDescent="0.2">
      <c r="B194" s="456"/>
      <c r="C194" s="105"/>
      <c r="D194" s="289"/>
      <c r="E194" s="289"/>
      <c r="F194" s="289"/>
      <c r="G194" s="289"/>
      <c r="H194" s="289"/>
      <c r="I194" s="105"/>
      <c r="J194" s="419"/>
    </row>
    <row r="195" spans="2:10" s="44" customFormat="1" x14ac:dyDescent="0.2">
      <c r="B195" s="456"/>
      <c r="C195" s="105"/>
      <c r="D195" s="289"/>
      <c r="E195" s="289"/>
      <c r="F195" s="289"/>
      <c r="G195" s="289"/>
      <c r="H195" s="289"/>
      <c r="I195" s="105"/>
      <c r="J195" s="419"/>
    </row>
    <row r="196" spans="2:10" s="44" customFormat="1" x14ac:dyDescent="0.2">
      <c r="B196" s="456"/>
      <c r="C196" s="105"/>
      <c r="D196" s="289"/>
      <c r="E196" s="289"/>
      <c r="F196" s="289"/>
      <c r="G196" s="289"/>
      <c r="H196" s="289"/>
      <c r="I196" s="105"/>
      <c r="J196" s="419"/>
    </row>
    <row r="197" spans="2:10" s="44" customFormat="1" x14ac:dyDescent="0.2">
      <c r="B197" s="456"/>
      <c r="C197" s="105"/>
      <c r="D197" s="289"/>
      <c r="E197" s="289"/>
      <c r="F197" s="289"/>
      <c r="G197" s="289"/>
      <c r="H197" s="289"/>
      <c r="I197" s="105"/>
      <c r="J197" s="419"/>
    </row>
    <row r="198" spans="2:10" s="44" customFormat="1" x14ac:dyDescent="0.2">
      <c r="B198" s="456"/>
      <c r="C198" s="105"/>
      <c r="D198" s="289"/>
      <c r="E198" s="289"/>
      <c r="F198" s="289"/>
      <c r="G198" s="289"/>
      <c r="H198" s="289"/>
      <c r="I198" s="105"/>
      <c r="J198" s="419"/>
    </row>
    <row r="199" spans="2:10" s="44" customFormat="1" x14ac:dyDescent="0.2">
      <c r="B199" s="456"/>
      <c r="C199" s="105"/>
      <c r="D199" s="289"/>
      <c r="E199" s="289"/>
      <c r="F199" s="289"/>
      <c r="G199" s="289"/>
      <c r="H199" s="289"/>
      <c r="I199" s="105"/>
      <c r="J199" s="419"/>
    </row>
    <row r="200" spans="2:10" s="44" customFormat="1" x14ac:dyDescent="0.2">
      <c r="B200" s="456"/>
      <c r="C200" s="105"/>
      <c r="D200" s="289"/>
      <c r="E200" s="289"/>
      <c r="F200" s="289"/>
      <c r="G200" s="289"/>
      <c r="H200" s="289"/>
      <c r="I200" s="105"/>
      <c r="J200" s="419"/>
    </row>
    <row r="201" spans="2:10" s="44" customFormat="1" x14ac:dyDescent="0.2">
      <c r="B201" s="456"/>
      <c r="C201" s="105"/>
      <c r="D201" s="289"/>
      <c r="E201" s="289"/>
      <c r="F201" s="289"/>
      <c r="G201" s="289"/>
      <c r="H201" s="289"/>
      <c r="I201" s="105"/>
      <c r="J201" s="419"/>
    </row>
    <row r="202" spans="2:10" s="44" customFormat="1" x14ac:dyDescent="0.2">
      <c r="B202" s="456"/>
      <c r="C202" s="105"/>
      <c r="D202" s="289"/>
      <c r="E202" s="289"/>
      <c r="F202" s="289"/>
      <c r="G202" s="289"/>
      <c r="H202" s="289"/>
      <c r="I202" s="105"/>
      <c r="J202" s="419"/>
    </row>
    <row r="203" spans="2:10" s="44" customFormat="1" x14ac:dyDescent="0.2">
      <c r="B203" s="456"/>
      <c r="C203" s="105"/>
      <c r="D203" s="289"/>
      <c r="E203" s="289"/>
      <c r="F203" s="289"/>
      <c r="G203" s="289"/>
      <c r="H203" s="289"/>
      <c r="I203" s="105"/>
      <c r="J203" s="419"/>
    </row>
    <row r="204" spans="2:10" s="44" customFormat="1" x14ac:dyDescent="0.2">
      <c r="B204" s="456"/>
      <c r="C204" s="105"/>
      <c r="D204" s="289"/>
      <c r="E204" s="289"/>
      <c r="F204" s="289"/>
      <c r="G204" s="289"/>
      <c r="H204" s="289"/>
      <c r="I204" s="105"/>
      <c r="J204" s="419"/>
    </row>
    <row r="205" spans="2:10" s="44" customFormat="1" x14ac:dyDescent="0.2">
      <c r="B205" s="456"/>
      <c r="C205" s="105"/>
      <c r="D205" s="289"/>
      <c r="E205" s="289"/>
      <c r="F205" s="289"/>
      <c r="G205" s="289"/>
      <c r="H205" s="289"/>
      <c r="I205" s="105"/>
      <c r="J205" s="419"/>
    </row>
    <row r="206" spans="2:10" s="44" customFormat="1" x14ac:dyDescent="0.2">
      <c r="B206" s="456"/>
      <c r="C206" s="105"/>
      <c r="D206" s="289"/>
      <c r="E206" s="289"/>
      <c r="F206" s="289"/>
      <c r="G206" s="289"/>
      <c r="H206" s="289"/>
      <c r="I206" s="105"/>
      <c r="J206" s="419"/>
    </row>
    <row r="207" spans="2:10" s="44" customFormat="1" x14ac:dyDescent="0.2">
      <c r="B207" s="456"/>
      <c r="C207" s="105"/>
      <c r="D207" s="289"/>
      <c r="E207" s="289"/>
      <c r="F207" s="289"/>
      <c r="G207" s="289"/>
      <c r="H207" s="289"/>
      <c r="I207" s="105"/>
      <c r="J207" s="419"/>
    </row>
    <row r="208" spans="2:10" s="44" customFormat="1" x14ac:dyDescent="0.2">
      <c r="B208" s="456"/>
      <c r="C208" s="105"/>
      <c r="D208" s="289"/>
      <c r="E208" s="289"/>
      <c r="F208" s="289"/>
      <c r="G208" s="289"/>
      <c r="H208" s="289"/>
      <c r="I208" s="105"/>
      <c r="J208" s="419"/>
    </row>
    <row r="209" spans="2:10" s="44" customFormat="1" x14ac:dyDescent="0.2">
      <c r="B209" s="456"/>
      <c r="C209" s="105"/>
      <c r="D209" s="289"/>
      <c r="E209" s="289"/>
      <c r="F209" s="289"/>
      <c r="G209" s="289"/>
      <c r="H209" s="289"/>
      <c r="I209" s="105"/>
      <c r="J209" s="419"/>
    </row>
    <row r="210" spans="2:10" s="44" customFormat="1" x14ac:dyDescent="0.2">
      <c r="B210" s="456"/>
      <c r="C210" s="105"/>
      <c r="D210" s="289"/>
      <c r="E210" s="289"/>
      <c r="F210" s="289"/>
      <c r="G210" s="289"/>
      <c r="H210" s="289"/>
      <c r="I210" s="105"/>
      <c r="J210" s="419"/>
    </row>
    <row r="211" spans="2:10" s="44" customFormat="1" x14ac:dyDescent="0.2">
      <c r="B211" s="456"/>
      <c r="C211" s="105"/>
      <c r="D211" s="289"/>
      <c r="E211" s="289"/>
      <c r="F211" s="289"/>
      <c r="G211" s="289"/>
      <c r="H211" s="289"/>
      <c r="I211" s="105"/>
      <c r="J211" s="419"/>
    </row>
    <row r="212" spans="2:10" s="44" customFormat="1" x14ac:dyDescent="0.2">
      <c r="B212" s="456"/>
      <c r="C212" s="105"/>
      <c r="D212" s="289"/>
      <c r="E212" s="289"/>
      <c r="F212" s="289"/>
      <c r="G212" s="289"/>
      <c r="H212" s="289"/>
      <c r="I212" s="105"/>
      <c r="J212" s="419"/>
    </row>
    <row r="213" spans="2:10" s="44" customFormat="1" x14ac:dyDescent="0.2">
      <c r="B213" s="456"/>
      <c r="C213" s="105"/>
      <c r="D213" s="289"/>
      <c r="E213" s="289"/>
      <c r="F213" s="289"/>
      <c r="G213" s="289"/>
      <c r="H213" s="289"/>
      <c r="I213" s="105"/>
      <c r="J213" s="419"/>
    </row>
    <row r="214" spans="2:10" s="44" customFormat="1" x14ac:dyDescent="0.2">
      <c r="B214" s="456"/>
      <c r="C214" s="105"/>
      <c r="D214" s="289"/>
      <c r="E214" s="289"/>
      <c r="F214" s="289"/>
      <c r="G214" s="289"/>
      <c r="H214" s="289"/>
      <c r="I214" s="105"/>
      <c r="J214" s="419"/>
    </row>
    <row r="215" spans="2:10" s="44" customFormat="1" x14ac:dyDescent="0.2">
      <c r="B215" s="456"/>
      <c r="C215" s="105"/>
      <c r="D215" s="289"/>
      <c r="E215" s="289"/>
      <c r="F215" s="289"/>
      <c r="G215" s="289"/>
      <c r="H215" s="289"/>
      <c r="I215" s="105"/>
      <c r="J215" s="419"/>
    </row>
    <row r="216" spans="2:10" s="44" customFormat="1" x14ac:dyDescent="0.2">
      <c r="B216" s="456"/>
      <c r="C216" s="105"/>
      <c r="D216" s="289"/>
      <c r="E216" s="289"/>
      <c r="F216" s="289"/>
      <c r="G216" s="289"/>
      <c r="H216" s="289"/>
      <c r="I216" s="105"/>
      <c r="J216" s="419"/>
    </row>
    <row r="217" spans="2:10" s="44" customFormat="1" x14ac:dyDescent="0.2">
      <c r="B217" s="456"/>
      <c r="C217" s="105"/>
      <c r="D217" s="289"/>
      <c r="E217" s="289"/>
      <c r="F217" s="289"/>
      <c r="G217" s="289"/>
      <c r="H217" s="289"/>
      <c r="I217" s="105"/>
      <c r="J217" s="419"/>
    </row>
    <row r="218" spans="2:10" s="44" customFormat="1" x14ac:dyDescent="0.2">
      <c r="B218" s="456"/>
      <c r="C218" s="105"/>
      <c r="D218" s="289"/>
      <c r="E218" s="289"/>
      <c r="F218" s="289"/>
      <c r="G218" s="289"/>
      <c r="H218" s="289"/>
      <c r="I218" s="105"/>
      <c r="J218" s="419"/>
    </row>
    <row r="219" spans="2:10" s="44" customFormat="1" x14ac:dyDescent="0.2">
      <c r="B219" s="456"/>
      <c r="C219" s="105"/>
      <c r="D219" s="289"/>
      <c r="E219" s="289"/>
      <c r="F219" s="289"/>
      <c r="G219" s="289"/>
      <c r="H219" s="289"/>
      <c r="I219" s="105"/>
      <c r="J219" s="419"/>
    </row>
    <row r="220" spans="2:10" s="44" customFormat="1" x14ac:dyDescent="0.2">
      <c r="B220" s="456"/>
      <c r="C220" s="105"/>
      <c r="D220" s="289"/>
      <c r="E220" s="289"/>
      <c r="F220" s="289"/>
      <c r="G220" s="289"/>
      <c r="H220" s="289"/>
      <c r="I220" s="105"/>
      <c r="J220" s="419"/>
    </row>
    <row r="221" spans="2:10" s="44" customFormat="1" x14ac:dyDescent="0.2">
      <c r="B221" s="456"/>
      <c r="C221" s="105"/>
      <c r="D221" s="289"/>
      <c r="E221" s="289"/>
      <c r="F221" s="289"/>
      <c r="G221" s="289"/>
      <c r="H221" s="289"/>
      <c r="I221" s="105"/>
      <c r="J221" s="419"/>
    </row>
    <row r="222" spans="2:10" s="44" customFormat="1" x14ac:dyDescent="0.2">
      <c r="B222" s="456"/>
      <c r="C222" s="105"/>
      <c r="D222" s="289"/>
      <c r="E222" s="289"/>
      <c r="F222" s="289"/>
      <c r="G222" s="289"/>
      <c r="H222" s="289"/>
      <c r="I222" s="105"/>
      <c r="J222" s="419"/>
    </row>
    <row r="223" spans="2:10" s="44" customFormat="1" x14ac:dyDescent="0.2">
      <c r="B223" s="456"/>
      <c r="C223" s="105"/>
      <c r="D223" s="289"/>
      <c r="E223" s="289"/>
      <c r="F223" s="289"/>
      <c r="G223" s="289"/>
      <c r="H223" s="289"/>
      <c r="I223" s="105"/>
      <c r="J223" s="419"/>
    </row>
    <row r="224" spans="2:10" s="44" customFormat="1" x14ac:dyDescent="0.2">
      <c r="B224" s="456"/>
      <c r="C224" s="105"/>
      <c r="D224" s="289"/>
      <c r="E224" s="289"/>
      <c r="F224" s="289"/>
      <c r="G224" s="289"/>
      <c r="H224" s="289"/>
      <c r="I224" s="105"/>
      <c r="J224" s="419"/>
    </row>
    <row r="225" spans="2:10" s="44" customFormat="1" x14ac:dyDescent="0.2">
      <c r="B225" s="456"/>
      <c r="C225" s="105"/>
      <c r="D225" s="289"/>
      <c r="E225" s="289"/>
      <c r="F225" s="289"/>
      <c r="G225" s="289"/>
      <c r="H225" s="289"/>
      <c r="I225" s="105"/>
      <c r="J225" s="419"/>
    </row>
    <row r="226" spans="2:10" s="44" customFormat="1" x14ac:dyDescent="0.2">
      <c r="B226" s="456"/>
      <c r="C226" s="105"/>
      <c r="D226" s="289"/>
      <c r="E226" s="289"/>
      <c r="F226" s="289"/>
      <c r="G226" s="289"/>
      <c r="H226" s="289"/>
      <c r="I226" s="105"/>
      <c r="J226" s="419"/>
    </row>
    <row r="227" spans="2:10" s="44" customFormat="1" x14ac:dyDescent="0.2">
      <c r="B227" s="456"/>
      <c r="C227" s="105"/>
      <c r="D227" s="289"/>
      <c r="E227" s="289"/>
      <c r="F227" s="289"/>
      <c r="G227" s="289"/>
      <c r="H227" s="289"/>
      <c r="I227" s="105"/>
      <c r="J227" s="419"/>
    </row>
    <row r="228" spans="2:10" s="44" customFormat="1" x14ac:dyDescent="0.2">
      <c r="B228" s="456"/>
      <c r="C228" s="105"/>
      <c r="D228" s="289"/>
      <c r="E228" s="289"/>
      <c r="F228" s="289"/>
      <c r="G228" s="289"/>
      <c r="H228" s="289"/>
      <c r="I228" s="105"/>
      <c r="J228" s="419"/>
    </row>
    <row r="229" spans="2:10" s="44" customFormat="1" x14ac:dyDescent="0.2">
      <c r="B229" s="456"/>
      <c r="C229" s="105"/>
      <c r="D229" s="289"/>
      <c r="E229" s="289"/>
      <c r="F229" s="289"/>
      <c r="G229" s="289"/>
      <c r="H229" s="289"/>
      <c r="I229" s="105"/>
      <c r="J229" s="419"/>
    </row>
    <row r="230" spans="2:10" s="44" customFormat="1" x14ac:dyDescent="0.2">
      <c r="B230" s="456"/>
      <c r="C230" s="105"/>
      <c r="D230" s="289"/>
      <c r="E230" s="289"/>
      <c r="F230" s="289"/>
      <c r="G230" s="289"/>
      <c r="H230" s="289"/>
      <c r="I230" s="105"/>
      <c r="J230" s="419"/>
    </row>
    <row r="231" spans="2:10" s="44" customFormat="1" x14ac:dyDescent="0.2">
      <c r="B231" s="456"/>
      <c r="C231" s="105"/>
      <c r="D231" s="289"/>
      <c r="E231" s="289"/>
      <c r="F231" s="289"/>
      <c r="G231" s="289"/>
      <c r="H231" s="289"/>
      <c r="I231" s="105"/>
      <c r="J231" s="419"/>
    </row>
    <row r="232" spans="2:10" s="44" customFormat="1" x14ac:dyDescent="0.2">
      <c r="B232" s="456"/>
      <c r="C232" s="105"/>
      <c r="D232" s="289"/>
      <c r="E232" s="289"/>
      <c r="F232" s="289"/>
      <c r="G232" s="289"/>
      <c r="H232" s="289"/>
      <c r="I232" s="105"/>
      <c r="J232" s="419"/>
    </row>
    <row r="233" spans="2:10" s="44" customFormat="1" x14ac:dyDescent="0.2">
      <c r="B233" s="456"/>
      <c r="C233" s="105"/>
      <c r="D233" s="289"/>
      <c r="E233" s="289"/>
      <c r="F233" s="289"/>
      <c r="G233" s="289"/>
      <c r="H233" s="289"/>
      <c r="I233" s="105"/>
      <c r="J233" s="419"/>
    </row>
    <row r="234" spans="2:10" s="44" customFormat="1" x14ac:dyDescent="0.2">
      <c r="B234" s="456"/>
      <c r="C234" s="105"/>
      <c r="D234" s="289"/>
      <c r="E234" s="289"/>
      <c r="F234" s="289"/>
      <c r="G234" s="289"/>
      <c r="H234" s="289"/>
      <c r="I234" s="105"/>
      <c r="J234" s="419"/>
    </row>
    <row r="235" spans="2:10" s="44" customFormat="1" x14ac:dyDescent="0.2">
      <c r="B235" s="456"/>
      <c r="C235" s="105"/>
      <c r="D235" s="289"/>
      <c r="E235" s="289"/>
      <c r="F235" s="289"/>
      <c r="G235" s="289"/>
      <c r="H235" s="289"/>
      <c r="I235" s="105"/>
      <c r="J235" s="419"/>
    </row>
    <row r="236" spans="2:10" s="44" customFormat="1" x14ac:dyDescent="0.2">
      <c r="B236" s="456"/>
      <c r="C236" s="105"/>
      <c r="D236" s="289"/>
      <c r="E236" s="289"/>
      <c r="F236" s="289"/>
      <c r="G236" s="289"/>
      <c r="H236" s="289"/>
      <c r="I236" s="105"/>
      <c r="J236" s="419"/>
    </row>
    <row r="237" spans="2:10" s="44" customFormat="1" x14ac:dyDescent="0.2">
      <c r="B237" s="456"/>
      <c r="C237" s="105"/>
      <c r="D237" s="289"/>
      <c r="E237" s="289"/>
      <c r="F237" s="289"/>
      <c r="G237" s="289"/>
      <c r="H237" s="289"/>
      <c r="I237" s="105"/>
      <c r="J237" s="419"/>
    </row>
  </sheetData>
  <mergeCells count="17">
    <mergeCell ref="A27:A32"/>
    <mergeCell ref="A33:A39"/>
    <mergeCell ref="A43:A49"/>
    <mergeCell ref="A17:A21"/>
    <mergeCell ref="A22:A26"/>
    <mergeCell ref="B1:J1"/>
    <mergeCell ref="G2:J2"/>
    <mergeCell ref="G3:J3"/>
    <mergeCell ref="A2:B2"/>
    <mergeCell ref="A3:B3"/>
    <mergeCell ref="G40:I40"/>
    <mergeCell ref="G41:I41"/>
    <mergeCell ref="G42:I42"/>
    <mergeCell ref="A5:A7"/>
    <mergeCell ref="B13:B15"/>
    <mergeCell ref="C13:C15"/>
    <mergeCell ref="A8:A1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AA85"/>
  <sheetViews>
    <sheetView zoomScale="90" zoomScaleNormal="90" workbookViewId="0">
      <selection activeCell="E60" sqref="E60"/>
    </sheetView>
  </sheetViews>
  <sheetFormatPr defaultColWidth="9.140625" defaultRowHeight="12.75" x14ac:dyDescent="0.2"/>
  <cols>
    <col min="1" max="1" width="8.7109375" style="3" customWidth="1"/>
    <col min="2" max="2" width="33.140625" style="3" customWidth="1"/>
    <col min="3" max="3" width="37.5703125" style="3" customWidth="1"/>
    <col min="4" max="4" width="9.140625" style="54" customWidth="1"/>
    <col min="5" max="5" width="9.28515625" style="54" bestFit="1" customWidth="1"/>
    <col min="6" max="6" width="13.5703125" style="54" customWidth="1"/>
    <col min="7" max="7" width="12.85546875" style="54" customWidth="1"/>
    <col min="8" max="8" width="11.28515625" style="54" customWidth="1"/>
    <col min="9" max="9" width="11" style="54" customWidth="1"/>
    <col min="10" max="12" width="9.85546875" style="3" customWidth="1"/>
    <col min="13" max="13" width="14.85546875" style="54" customWidth="1"/>
    <col min="14" max="14" width="20.28515625" style="54" customWidth="1"/>
    <col min="15" max="15" width="12.140625" style="3" customWidth="1"/>
    <col min="16" max="16" width="11.7109375" style="3" customWidth="1"/>
    <col min="17" max="17" width="12.140625" style="3" customWidth="1"/>
    <col min="18" max="18" width="12" style="3" customWidth="1"/>
    <col min="19" max="19" width="7.28515625" style="3" customWidth="1"/>
    <col min="20" max="21" width="9.28515625" style="3" bestFit="1" customWidth="1"/>
    <col min="22" max="22" width="33.85546875" style="3" customWidth="1"/>
    <col min="23" max="16384" width="9.140625" style="3"/>
  </cols>
  <sheetData>
    <row r="1" spans="1:27" ht="97.5" customHeight="1" x14ac:dyDescent="0.2">
      <c r="A1" s="1351" t="s">
        <v>683</v>
      </c>
      <c r="B1" s="1352"/>
      <c r="C1" s="1353" t="s">
        <v>497</v>
      </c>
      <c r="D1" s="1353"/>
      <c r="E1" s="1353"/>
      <c r="F1" s="1353"/>
      <c r="G1" s="1353"/>
      <c r="H1" s="1353"/>
      <c r="I1" s="1353"/>
      <c r="J1" s="1353"/>
      <c r="K1" s="1353"/>
      <c r="L1" s="1353"/>
      <c r="M1" s="1353"/>
      <c r="N1" s="1353"/>
      <c r="O1" s="1353"/>
      <c r="P1" s="1353"/>
      <c r="Q1" s="1353"/>
      <c r="R1" s="1353"/>
      <c r="S1" s="1353"/>
      <c r="T1" s="1353"/>
      <c r="U1" s="1353"/>
      <c r="V1" s="1353"/>
      <c r="Z1" s="25"/>
    </row>
    <row r="2" spans="1:27" s="7" customFormat="1" ht="67.5" customHeight="1" x14ac:dyDescent="0.2">
      <c r="A2" s="663" t="s">
        <v>28</v>
      </c>
      <c r="B2" s="664" t="s">
        <v>81</v>
      </c>
      <c r="C2" s="665" t="s">
        <v>80</v>
      </c>
      <c r="D2" s="666" t="s">
        <v>67</v>
      </c>
      <c r="E2" s="666" t="s">
        <v>66</v>
      </c>
      <c r="F2" s="666" t="s">
        <v>424</v>
      </c>
      <c r="G2" s="666" t="s">
        <v>425</v>
      </c>
      <c r="H2" s="666" t="s">
        <v>426</v>
      </c>
      <c r="I2" s="666" t="s">
        <v>427</v>
      </c>
      <c r="J2" s="666" t="s">
        <v>445</v>
      </c>
      <c r="K2" s="666" t="s">
        <v>446</v>
      </c>
      <c r="L2" s="666" t="s">
        <v>447</v>
      </c>
      <c r="M2" s="666" t="s">
        <v>170</v>
      </c>
      <c r="N2" s="666" t="s">
        <v>177</v>
      </c>
      <c r="O2" s="666" t="s">
        <v>442</v>
      </c>
      <c r="P2" s="666" t="s">
        <v>443</v>
      </c>
      <c r="Q2" s="666" t="s">
        <v>444</v>
      </c>
      <c r="R2" s="666" t="s">
        <v>500</v>
      </c>
      <c r="S2" s="666" t="s">
        <v>501</v>
      </c>
      <c r="T2" s="666" t="s">
        <v>502</v>
      </c>
      <c r="U2" s="666" t="s">
        <v>540</v>
      </c>
      <c r="V2" s="667" t="s">
        <v>382</v>
      </c>
      <c r="AA2" s="3"/>
    </row>
    <row r="3" spans="1:27" s="10" customFormat="1" x14ac:dyDescent="0.2">
      <c r="A3" s="668"/>
      <c r="B3" s="664" t="s">
        <v>27</v>
      </c>
      <c r="C3" s="668"/>
      <c r="D3" s="669" t="s">
        <v>18</v>
      </c>
      <c r="E3" s="669" t="s">
        <v>17</v>
      </c>
      <c r="F3" s="669" t="s">
        <v>20</v>
      </c>
      <c r="G3" s="669" t="s">
        <v>19</v>
      </c>
      <c r="H3" s="669" t="s">
        <v>18</v>
      </c>
      <c r="I3" s="669" t="s">
        <v>17</v>
      </c>
      <c r="J3" s="668"/>
      <c r="K3" s="668"/>
      <c r="L3" s="668"/>
      <c r="M3" s="669" t="s">
        <v>130</v>
      </c>
      <c r="N3" s="669"/>
      <c r="O3" s="670"/>
      <c r="P3" s="670"/>
      <c r="Q3" s="668"/>
      <c r="R3" s="668"/>
      <c r="S3" s="668"/>
      <c r="T3" s="668"/>
      <c r="U3" s="668"/>
      <c r="V3" s="668"/>
      <c r="Z3" s="4"/>
      <c r="AA3" s="53"/>
    </row>
    <row r="4" spans="1:27" ht="12.75" customHeight="1" x14ac:dyDescent="0.2">
      <c r="A4" s="671">
        <v>1000</v>
      </c>
      <c r="B4" s="672" t="s">
        <v>196</v>
      </c>
      <c r="C4" s="672" t="s">
        <v>196</v>
      </c>
      <c r="D4" s="673">
        <v>1.5</v>
      </c>
      <c r="E4" s="673">
        <v>1.5</v>
      </c>
      <c r="F4" s="673">
        <v>0.45</v>
      </c>
      <c r="G4" s="673">
        <v>0.45</v>
      </c>
      <c r="H4" s="673">
        <v>0.5</v>
      </c>
      <c r="I4" s="673">
        <v>0.5</v>
      </c>
      <c r="J4" s="673">
        <v>0.5</v>
      </c>
      <c r="K4" s="673">
        <v>0.5</v>
      </c>
      <c r="L4" s="673">
        <v>0.2</v>
      </c>
      <c r="M4" s="673" t="s">
        <v>172</v>
      </c>
      <c r="N4" s="673" t="s">
        <v>194</v>
      </c>
      <c r="O4" s="673" t="s">
        <v>448</v>
      </c>
      <c r="P4" s="673" t="s">
        <v>448</v>
      </c>
      <c r="Q4" s="673" t="s">
        <v>161</v>
      </c>
      <c r="R4" s="673">
        <f>IF(O4="No", 0.5, IF(O4="Yes",1))</f>
        <v>0.5</v>
      </c>
      <c r="S4" s="673">
        <f>IF(P4="No", 0.5, IF(P4="Yes",1))</f>
        <v>0.5</v>
      </c>
      <c r="T4" s="673">
        <f>IF(Q4="Low", 0.2, IF(Q4="Medium", 0.5, IF(Q4="High", 0.8)))</f>
        <v>0.2</v>
      </c>
      <c r="U4" s="673">
        <v>0</v>
      </c>
      <c r="V4" s="670" t="s">
        <v>376</v>
      </c>
      <c r="Z4" s="59"/>
      <c r="AA4" s="53"/>
    </row>
    <row r="5" spans="1:27" ht="12.75" customHeight="1" x14ac:dyDescent="0.25">
      <c r="A5" s="671">
        <v>1100</v>
      </c>
      <c r="B5" s="672" t="s">
        <v>116</v>
      </c>
      <c r="C5" s="671" t="s">
        <v>103</v>
      </c>
      <c r="D5" s="673">
        <v>12</v>
      </c>
      <c r="E5" s="673">
        <v>1.5</v>
      </c>
      <c r="F5" s="673">
        <v>0.85</v>
      </c>
      <c r="G5" s="673">
        <v>0.6</v>
      </c>
      <c r="H5" s="673">
        <v>12</v>
      </c>
      <c r="I5" s="673">
        <v>0.6</v>
      </c>
      <c r="J5" s="673">
        <v>1</v>
      </c>
      <c r="K5" s="673">
        <v>0.5</v>
      </c>
      <c r="L5" s="673">
        <v>0.2</v>
      </c>
      <c r="M5" s="674" t="s">
        <v>171</v>
      </c>
      <c r="N5" s="673" t="s">
        <v>194</v>
      </c>
      <c r="O5" s="675" t="s">
        <v>449</v>
      </c>
      <c r="P5" s="675" t="s">
        <v>448</v>
      </c>
      <c r="Q5" s="675" t="s">
        <v>161</v>
      </c>
      <c r="R5" s="673">
        <f t="shared" ref="R5:R36" si="0">IF(O5="No", 0.5, IF(O5="Yes",1))</f>
        <v>1</v>
      </c>
      <c r="S5" s="673">
        <f t="shared" ref="S5:S65" si="1">IF(P5="No", 0.5, IF(P5="Yes",1))</f>
        <v>0.5</v>
      </c>
      <c r="T5" s="673">
        <f t="shared" ref="T5:T65" si="2">IF(Q5="Low", 0.2, IF(Q5="Medium", 0.5, IF(Q5="High", 0.8)))</f>
        <v>0.2</v>
      </c>
      <c r="U5" s="673">
        <v>0</v>
      </c>
      <c r="V5" s="670" t="s">
        <v>450</v>
      </c>
      <c r="Z5" s="4"/>
      <c r="AA5" s="53"/>
    </row>
    <row r="6" spans="1:27" ht="12.75" customHeight="1" x14ac:dyDescent="0.2">
      <c r="A6" s="671">
        <v>1200</v>
      </c>
      <c r="B6" s="672" t="s">
        <v>182</v>
      </c>
      <c r="C6" s="672" t="s">
        <v>182</v>
      </c>
      <c r="D6" s="673">
        <v>0.2</v>
      </c>
      <c r="E6" s="673">
        <v>0.2</v>
      </c>
      <c r="F6" s="673">
        <v>0.05</v>
      </c>
      <c r="G6" s="673">
        <v>0.05</v>
      </c>
      <c r="H6" s="673">
        <v>0.05</v>
      </c>
      <c r="I6" s="673">
        <v>0.05</v>
      </c>
      <c r="J6" s="673" t="e">
        <v>#N/A</v>
      </c>
      <c r="K6" s="673" t="e">
        <v>#N/A</v>
      </c>
      <c r="L6" s="673" t="e">
        <v>#N/A</v>
      </c>
      <c r="M6" s="673" t="s">
        <v>172</v>
      </c>
      <c r="N6" s="673" t="s">
        <v>183</v>
      </c>
      <c r="O6" s="673" t="e">
        <v>#N/A</v>
      </c>
      <c r="P6" s="673" t="e">
        <v>#N/A</v>
      </c>
      <c r="Q6" s="673" t="e">
        <v>#N/A</v>
      </c>
      <c r="R6" s="673" t="e">
        <f t="shared" si="0"/>
        <v>#N/A</v>
      </c>
      <c r="S6" s="673" t="e">
        <f t="shared" si="1"/>
        <v>#N/A</v>
      </c>
      <c r="T6" s="673" t="e">
        <f t="shared" si="2"/>
        <v>#N/A</v>
      </c>
      <c r="U6" s="673">
        <v>0</v>
      </c>
      <c r="V6" s="670"/>
      <c r="Z6" s="4"/>
      <c r="AA6" s="53"/>
    </row>
    <row r="7" spans="1:27" ht="12.75" customHeight="1" x14ac:dyDescent="0.2">
      <c r="A7" s="671">
        <v>1300</v>
      </c>
      <c r="B7" s="672" t="s">
        <v>184</v>
      </c>
      <c r="C7" s="672" t="s">
        <v>184</v>
      </c>
      <c r="D7" s="673">
        <v>0.2</v>
      </c>
      <c r="E7" s="673">
        <v>0.2</v>
      </c>
      <c r="F7" s="673">
        <v>0.4</v>
      </c>
      <c r="G7" s="673">
        <v>0.4</v>
      </c>
      <c r="H7" s="673">
        <v>0.1</v>
      </c>
      <c r="I7" s="673">
        <v>0.1</v>
      </c>
      <c r="J7" s="673" t="e">
        <v>#N/A</v>
      </c>
      <c r="K7" s="673" t="e">
        <v>#N/A</v>
      </c>
      <c r="L7" s="673" t="e">
        <v>#N/A</v>
      </c>
      <c r="M7" s="673" t="s">
        <v>172</v>
      </c>
      <c r="N7" s="673" t="s">
        <v>183</v>
      </c>
      <c r="O7" s="673" t="e">
        <v>#N/A</v>
      </c>
      <c r="P7" s="673" t="e">
        <v>#N/A</v>
      </c>
      <c r="Q7" s="673" t="e">
        <v>#N/A</v>
      </c>
      <c r="R7" s="673" t="e">
        <f t="shared" si="0"/>
        <v>#N/A</v>
      </c>
      <c r="S7" s="673" t="e">
        <f t="shared" si="1"/>
        <v>#N/A</v>
      </c>
      <c r="T7" s="673" t="e">
        <f t="shared" si="2"/>
        <v>#N/A</v>
      </c>
      <c r="U7" s="673">
        <v>0</v>
      </c>
      <c r="V7" s="670"/>
      <c r="Z7" s="7"/>
      <c r="AA7" s="53"/>
    </row>
    <row r="8" spans="1:27" ht="12.75" customHeight="1" x14ac:dyDescent="0.2">
      <c r="A8" s="671">
        <v>1400</v>
      </c>
      <c r="B8" s="672" t="s">
        <v>145</v>
      </c>
      <c r="C8" s="676" t="s">
        <v>144</v>
      </c>
      <c r="D8" s="673">
        <v>20</v>
      </c>
      <c r="E8" s="673">
        <v>0.5</v>
      </c>
      <c r="F8" s="673">
        <v>0.75</v>
      </c>
      <c r="G8" s="673">
        <v>0.25</v>
      </c>
      <c r="H8" s="673">
        <v>5</v>
      </c>
      <c r="I8" s="673">
        <v>0.8</v>
      </c>
      <c r="J8" s="673">
        <v>1</v>
      </c>
      <c r="K8" s="673">
        <v>0.5</v>
      </c>
      <c r="L8" s="673">
        <v>0.8</v>
      </c>
      <c r="M8" s="674" t="s">
        <v>171</v>
      </c>
      <c r="N8" s="673" t="s">
        <v>178</v>
      </c>
      <c r="O8" s="673" t="s">
        <v>449</v>
      </c>
      <c r="P8" s="673" t="s">
        <v>448</v>
      </c>
      <c r="Q8" s="673" t="s">
        <v>159</v>
      </c>
      <c r="R8" s="673">
        <f t="shared" si="0"/>
        <v>1</v>
      </c>
      <c r="S8" s="673">
        <f t="shared" si="1"/>
        <v>0.5</v>
      </c>
      <c r="T8" s="673">
        <f t="shared" si="2"/>
        <v>0.8</v>
      </c>
      <c r="U8" s="673">
        <v>0</v>
      </c>
      <c r="V8" s="670" t="s">
        <v>373</v>
      </c>
      <c r="Z8" s="4"/>
      <c r="AA8" s="53"/>
    </row>
    <row r="9" spans="1:27" ht="12.75" customHeight="1" x14ac:dyDescent="0.2">
      <c r="A9" s="671">
        <v>1500</v>
      </c>
      <c r="B9" s="672" t="s">
        <v>72</v>
      </c>
      <c r="C9" s="672" t="s">
        <v>88</v>
      </c>
      <c r="D9" s="673">
        <v>16.5</v>
      </c>
      <c r="E9" s="673">
        <v>1</v>
      </c>
      <c r="F9" s="673">
        <v>0.8</v>
      </c>
      <c r="G9" s="673">
        <v>0.35</v>
      </c>
      <c r="H9" s="673">
        <v>6</v>
      </c>
      <c r="I9" s="673">
        <v>0.65</v>
      </c>
      <c r="J9" s="673">
        <v>1</v>
      </c>
      <c r="K9" s="673">
        <v>1</v>
      </c>
      <c r="L9" s="673">
        <v>0.8</v>
      </c>
      <c r="M9" s="673" t="s">
        <v>171</v>
      </c>
      <c r="N9" s="673" t="s">
        <v>178</v>
      </c>
      <c r="O9" s="673" t="s">
        <v>449</v>
      </c>
      <c r="P9" s="673" t="s">
        <v>449</v>
      </c>
      <c r="Q9" s="673" t="s">
        <v>159</v>
      </c>
      <c r="R9" s="673">
        <f t="shared" si="0"/>
        <v>1</v>
      </c>
      <c r="S9" s="673">
        <f t="shared" si="1"/>
        <v>1</v>
      </c>
      <c r="T9" s="673">
        <f t="shared" si="2"/>
        <v>0.8</v>
      </c>
      <c r="U9" s="673">
        <v>1</v>
      </c>
      <c r="V9" s="677" t="s">
        <v>371</v>
      </c>
      <c r="Z9" s="4"/>
      <c r="AA9" s="53"/>
    </row>
    <row r="10" spans="1:27" ht="12.75" customHeight="1" x14ac:dyDescent="0.2">
      <c r="A10" s="671">
        <v>1600</v>
      </c>
      <c r="B10" s="672" t="s">
        <v>365</v>
      </c>
      <c r="C10" s="672" t="s">
        <v>365</v>
      </c>
      <c r="D10" s="673">
        <v>8</v>
      </c>
      <c r="E10" s="673">
        <v>1.24</v>
      </c>
      <c r="F10" s="673">
        <v>0.9</v>
      </c>
      <c r="G10" s="673">
        <v>0.5</v>
      </c>
      <c r="H10" s="673">
        <v>6</v>
      </c>
      <c r="I10" s="673">
        <v>0.65</v>
      </c>
      <c r="J10" s="673">
        <v>1</v>
      </c>
      <c r="K10" s="673">
        <v>1</v>
      </c>
      <c r="L10" s="673">
        <v>0.5</v>
      </c>
      <c r="M10" s="673" t="s">
        <v>171</v>
      </c>
      <c r="N10" s="673" t="s">
        <v>181</v>
      </c>
      <c r="O10" s="673" t="s">
        <v>449</v>
      </c>
      <c r="P10" s="673" t="s">
        <v>449</v>
      </c>
      <c r="Q10" s="673" t="s">
        <v>451</v>
      </c>
      <c r="R10" s="673">
        <f t="shared" si="0"/>
        <v>1</v>
      </c>
      <c r="S10" s="673">
        <f t="shared" si="1"/>
        <v>1</v>
      </c>
      <c r="T10" s="673">
        <f t="shared" si="2"/>
        <v>0.5</v>
      </c>
      <c r="U10" s="673">
        <v>0</v>
      </c>
      <c r="V10" s="670" t="s">
        <v>452</v>
      </c>
      <c r="Z10" s="4"/>
      <c r="AA10" s="53"/>
    </row>
    <row r="11" spans="1:27" ht="12.75" customHeight="1" x14ac:dyDescent="0.2">
      <c r="A11" s="671">
        <v>1700</v>
      </c>
      <c r="B11" s="672" t="s">
        <v>362</v>
      </c>
      <c r="C11" s="672" t="s">
        <v>363</v>
      </c>
      <c r="D11" s="673">
        <v>10</v>
      </c>
      <c r="E11" s="673">
        <v>0.5</v>
      </c>
      <c r="F11" s="673">
        <v>0.85</v>
      </c>
      <c r="G11" s="673">
        <v>0.5</v>
      </c>
      <c r="H11" s="673">
        <v>6</v>
      </c>
      <c r="I11" s="673">
        <v>0.6</v>
      </c>
      <c r="J11" s="673">
        <v>0.5</v>
      </c>
      <c r="K11" s="673">
        <v>1</v>
      </c>
      <c r="L11" s="673">
        <v>0.5</v>
      </c>
      <c r="M11" s="674" t="s">
        <v>171</v>
      </c>
      <c r="N11" s="673" t="s">
        <v>194</v>
      </c>
      <c r="O11" s="673" t="s">
        <v>448</v>
      </c>
      <c r="P11" s="673" t="s">
        <v>449</v>
      </c>
      <c r="Q11" s="673" t="s">
        <v>451</v>
      </c>
      <c r="R11" s="673">
        <f t="shared" si="0"/>
        <v>0.5</v>
      </c>
      <c r="S11" s="673">
        <f t="shared" si="1"/>
        <v>1</v>
      </c>
      <c r="T11" s="673">
        <f t="shared" si="2"/>
        <v>0.5</v>
      </c>
      <c r="U11" s="673">
        <v>0</v>
      </c>
      <c r="V11" s="677" t="s">
        <v>453</v>
      </c>
    </row>
    <row r="12" spans="1:27" ht="12.75" customHeight="1" x14ac:dyDescent="0.2">
      <c r="A12" s="671">
        <v>1800</v>
      </c>
      <c r="B12" s="678" t="s">
        <v>126</v>
      </c>
      <c r="C12" s="678" t="s">
        <v>126</v>
      </c>
      <c r="D12" s="679">
        <v>1.088888888888889</v>
      </c>
      <c r="E12" s="679">
        <v>1.088888888888889</v>
      </c>
      <c r="F12" s="679">
        <v>0.8</v>
      </c>
      <c r="G12" s="679">
        <v>0.8</v>
      </c>
      <c r="H12" s="679">
        <v>1</v>
      </c>
      <c r="I12" s="679">
        <v>1</v>
      </c>
      <c r="J12" s="673">
        <v>0.5</v>
      </c>
      <c r="K12" s="673">
        <v>1</v>
      </c>
      <c r="L12" s="673">
        <v>0.8</v>
      </c>
      <c r="M12" s="673" t="s">
        <v>172</v>
      </c>
      <c r="N12" s="673" t="s">
        <v>178</v>
      </c>
      <c r="O12" s="673" t="s">
        <v>448</v>
      </c>
      <c r="P12" s="673" t="s">
        <v>449</v>
      </c>
      <c r="Q12" s="673" t="s">
        <v>159</v>
      </c>
      <c r="R12" s="673">
        <f t="shared" si="0"/>
        <v>0.5</v>
      </c>
      <c r="S12" s="673">
        <f t="shared" si="1"/>
        <v>1</v>
      </c>
      <c r="T12" s="673">
        <f t="shared" si="2"/>
        <v>0.8</v>
      </c>
      <c r="U12" s="673">
        <v>1</v>
      </c>
      <c r="V12" s="670" t="s">
        <v>454</v>
      </c>
      <c r="Z12" s="7" t="s">
        <v>27</v>
      </c>
    </row>
    <row r="13" spans="1:27" ht="12.75" customHeight="1" x14ac:dyDescent="0.2">
      <c r="A13" s="671">
        <v>1900</v>
      </c>
      <c r="B13" s="672" t="s">
        <v>92</v>
      </c>
      <c r="C13" s="672" t="s">
        <v>91</v>
      </c>
      <c r="D13" s="673">
        <v>3.5</v>
      </c>
      <c r="E13" s="673">
        <v>0.53</v>
      </c>
      <c r="F13" s="673">
        <v>0.8</v>
      </c>
      <c r="G13" s="673">
        <v>0.4</v>
      </c>
      <c r="H13" s="673">
        <v>3</v>
      </c>
      <c r="I13" s="673">
        <v>0.61</v>
      </c>
      <c r="J13" s="673">
        <v>1</v>
      </c>
      <c r="K13" s="673">
        <v>1</v>
      </c>
      <c r="L13" s="673">
        <v>0.5</v>
      </c>
      <c r="M13" s="673" t="s">
        <v>173</v>
      </c>
      <c r="N13" s="673" t="s">
        <v>178</v>
      </c>
      <c r="O13" s="673" t="s">
        <v>449</v>
      </c>
      <c r="P13" s="673" t="s">
        <v>449</v>
      </c>
      <c r="Q13" s="673" t="s">
        <v>451</v>
      </c>
      <c r="R13" s="673">
        <f t="shared" si="0"/>
        <v>1</v>
      </c>
      <c r="S13" s="673">
        <f t="shared" si="1"/>
        <v>1</v>
      </c>
      <c r="T13" s="673">
        <f t="shared" si="2"/>
        <v>0.5</v>
      </c>
      <c r="U13" s="673">
        <v>1</v>
      </c>
      <c r="V13" s="670" t="s">
        <v>455</v>
      </c>
      <c r="Z13" s="59" t="s">
        <v>27</v>
      </c>
    </row>
    <row r="14" spans="1:27" ht="12.75" customHeight="1" x14ac:dyDescent="0.2">
      <c r="A14" s="671">
        <v>2000</v>
      </c>
      <c r="B14" s="672" t="s">
        <v>151</v>
      </c>
      <c r="C14" s="672" t="s">
        <v>150</v>
      </c>
      <c r="D14" s="673">
        <v>25</v>
      </c>
      <c r="E14" s="673">
        <v>1.2</v>
      </c>
      <c r="F14" s="673">
        <v>0.9</v>
      </c>
      <c r="G14" s="673">
        <v>0.4</v>
      </c>
      <c r="H14" s="673">
        <v>15</v>
      </c>
      <c r="I14" s="673">
        <v>2</v>
      </c>
      <c r="J14" s="673">
        <v>1</v>
      </c>
      <c r="K14" s="673">
        <v>1</v>
      </c>
      <c r="L14" s="673">
        <v>0.2</v>
      </c>
      <c r="M14" s="674" t="s">
        <v>171</v>
      </c>
      <c r="N14" s="673" t="s">
        <v>178</v>
      </c>
      <c r="O14" s="673" t="s">
        <v>449</v>
      </c>
      <c r="P14" s="673" t="s">
        <v>449</v>
      </c>
      <c r="Q14" s="673" t="s">
        <v>161</v>
      </c>
      <c r="R14" s="673">
        <f t="shared" si="0"/>
        <v>1</v>
      </c>
      <c r="S14" s="673">
        <f t="shared" si="1"/>
        <v>1</v>
      </c>
      <c r="T14" s="673">
        <f t="shared" si="2"/>
        <v>0.2</v>
      </c>
      <c r="U14" s="673">
        <v>1</v>
      </c>
      <c r="V14" s="670" t="s">
        <v>373</v>
      </c>
      <c r="Z14" s="59" t="s">
        <v>27</v>
      </c>
    </row>
    <row r="15" spans="1:27" ht="12.75" customHeight="1" x14ac:dyDescent="0.2">
      <c r="A15" s="671">
        <v>2100</v>
      </c>
      <c r="B15" s="672" t="s">
        <v>147</v>
      </c>
      <c r="C15" s="676" t="s">
        <v>146</v>
      </c>
      <c r="D15" s="673">
        <v>25</v>
      </c>
      <c r="E15" s="673">
        <v>0.5</v>
      </c>
      <c r="F15" s="673">
        <v>0.75</v>
      </c>
      <c r="G15" s="673">
        <v>0.3</v>
      </c>
      <c r="H15" s="673">
        <v>10</v>
      </c>
      <c r="I15" s="673">
        <v>1</v>
      </c>
      <c r="J15" s="673">
        <v>1</v>
      </c>
      <c r="K15" s="673">
        <v>0.5</v>
      </c>
      <c r="L15" s="673">
        <v>0.5</v>
      </c>
      <c r="M15" s="674" t="s">
        <v>171</v>
      </c>
      <c r="N15" s="673" t="s">
        <v>178</v>
      </c>
      <c r="O15" s="673" t="s">
        <v>449</v>
      </c>
      <c r="P15" s="673" t="s">
        <v>448</v>
      </c>
      <c r="Q15" s="673" t="s">
        <v>451</v>
      </c>
      <c r="R15" s="673">
        <f t="shared" si="0"/>
        <v>1</v>
      </c>
      <c r="S15" s="673">
        <f t="shared" si="1"/>
        <v>0.5</v>
      </c>
      <c r="T15" s="673">
        <f t="shared" si="2"/>
        <v>0.5</v>
      </c>
      <c r="U15" s="673">
        <v>0</v>
      </c>
      <c r="V15" s="670" t="s">
        <v>373</v>
      </c>
      <c r="Z15" s="7" t="s">
        <v>27</v>
      </c>
    </row>
    <row r="16" spans="1:27" ht="12.75" customHeight="1" x14ac:dyDescent="0.25">
      <c r="A16" s="671">
        <v>2200</v>
      </c>
      <c r="B16" s="672" t="s">
        <v>367</v>
      </c>
      <c r="C16" s="672" t="s">
        <v>94</v>
      </c>
      <c r="D16" s="673">
        <v>23</v>
      </c>
      <c r="E16" s="673">
        <v>1</v>
      </c>
      <c r="F16" s="673">
        <v>0.8</v>
      </c>
      <c r="G16" s="673">
        <v>0.5</v>
      </c>
      <c r="H16" s="673">
        <v>12</v>
      </c>
      <c r="I16" s="673">
        <v>0.75</v>
      </c>
      <c r="J16" s="673">
        <v>0.5</v>
      </c>
      <c r="K16" s="673">
        <v>1</v>
      </c>
      <c r="L16" s="673">
        <v>0.5</v>
      </c>
      <c r="M16" s="674" t="s">
        <v>171</v>
      </c>
      <c r="N16" s="673" t="s">
        <v>178</v>
      </c>
      <c r="O16" s="675" t="s">
        <v>448</v>
      </c>
      <c r="P16" s="675" t="s">
        <v>449</v>
      </c>
      <c r="Q16" s="675" t="s">
        <v>451</v>
      </c>
      <c r="R16" s="673">
        <f t="shared" si="0"/>
        <v>0.5</v>
      </c>
      <c r="S16" s="673">
        <f t="shared" si="1"/>
        <v>1</v>
      </c>
      <c r="T16" s="673">
        <f t="shared" si="2"/>
        <v>0.5</v>
      </c>
      <c r="U16" s="673">
        <v>1</v>
      </c>
      <c r="V16" s="670" t="s">
        <v>456</v>
      </c>
      <c r="Z16" s="59" t="s">
        <v>27</v>
      </c>
    </row>
    <row r="17" spans="1:26" ht="12.75" customHeight="1" x14ac:dyDescent="0.2">
      <c r="A17" s="671">
        <v>2300</v>
      </c>
      <c r="B17" s="672" t="s">
        <v>199</v>
      </c>
      <c r="C17" s="676" t="s">
        <v>198</v>
      </c>
      <c r="D17" s="673">
        <v>1</v>
      </c>
      <c r="E17" s="673">
        <v>1.5</v>
      </c>
      <c r="F17" s="673">
        <v>0.75</v>
      </c>
      <c r="G17" s="673">
        <v>0.3</v>
      </c>
      <c r="H17" s="673">
        <v>2</v>
      </c>
      <c r="I17" s="673">
        <v>1.5</v>
      </c>
      <c r="J17" s="673">
        <v>1</v>
      </c>
      <c r="K17" s="673">
        <v>1</v>
      </c>
      <c r="L17" s="673">
        <v>0.5</v>
      </c>
      <c r="M17" s="673" t="s">
        <v>173</v>
      </c>
      <c r="N17" s="673" t="s">
        <v>178</v>
      </c>
      <c r="O17" s="673" t="s">
        <v>449</v>
      </c>
      <c r="P17" s="673" t="s">
        <v>449</v>
      </c>
      <c r="Q17" s="673" t="s">
        <v>451</v>
      </c>
      <c r="R17" s="673">
        <f t="shared" si="0"/>
        <v>1</v>
      </c>
      <c r="S17" s="673">
        <f t="shared" si="1"/>
        <v>1</v>
      </c>
      <c r="T17" s="673">
        <f t="shared" si="2"/>
        <v>0.5</v>
      </c>
      <c r="U17" s="673">
        <v>1</v>
      </c>
      <c r="V17" s="670" t="s">
        <v>457</v>
      </c>
      <c r="Z17" s="59" t="s">
        <v>27</v>
      </c>
    </row>
    <row r="18" spans="1:26" ht="12.75" customHeight="1" x14ac:dyDescent="0.2">
      <c r="A18" s="671">
        <v>2400</v>
      </c>
      <c r="B18" s="672" t="s">
        <v>180</v>
      </c>
      <c r="C18" s="672" t="s">
        <v>179</v>
      </c>
      <c r="D18" s="673">
        <v>7.6</v>
      </c>
      <c r="E18" s="673">
        <v>0.8</v>
      </c>
      <c r="F18" s="673">
        <v>0.75</v>
      </c>
      <c r="G18" s="673">
        <v>0.25</v>
      </c>
      <c r="H18" s="673">
        <v>6</v>
      </c>
      <c r="I18" s="673">
        <v>0.65</v>
      </c>
      <c r="J18" s="673">
        <v>1</v>
      </c>
      <c r="K18" s="673">
        <v>0.5</v>
      </c>
      <c r="L18" s="673">
        <v>0.8</v>
      </c>
      <c r="M18" s="673" t="s">
        <v>171</v>
      </c>
      <c r="N18" s="673" t="s">
        <v>178</v>
      </c>
      <c r="O18" s="673" t="s">
        <v>449</v>
      </c>
      <c r="P18" s="673" t="s">
        <v>448</v>
      </c>
      <c r="Q18" s="673" t="s">
        <v>159</v>
      </c>
      <c r="R18" s="673">
        <f t="shared" si="0"/>
        <v>1</v>
      </c>
      <c r="S18" s="673">
        <f t="shared" si="1"/>
        <v>0.5</v>
      </c>
      <c r="T18" s="673">
        <f t="shared" si="2"/>
        <v>0.8</v>
      </c>
      <c r="U18" s="673">
        <v>1</v>
      </c>
      <c r="V18" s="670" t="s">
        <v>373</v>
      </c>
    </row>
    <row r="19" spans="1:26" ht="12.75" customHeight="1" x14ac:dyDescent="0.2">
      <c r="A19" s="671">
        <v>2500</v>
      </c>
      <c r="B19" s="672" t="s">
        <v>136</v>
      </c>
      <c r="C19" s="672" t="s">
        <v>135</v>
      </c>
      <c r="D19" s="673">
        <v>1.5625</v>
      </c>
      <c r="E19" s="673">
        <v>1</v>
      </c>
      <c r="F19" s="673">
        <v>0.8</v>
      </c>
      <c r="G19" s="673">
        <v>0.3</v>
      </c>
      <c r="H19" s="673">
        <v>3</v>
      </c>
      <c r="I19" s="673">
        <v>0.5</v>
      </c>
      <c r="J19" s="673">
        <v>1</v>
      </c>
      <c r="K19" s="673">
        <v>1</v>
      </c>
      <c r="L19" s="673">
        <v>0.8</v>
      </c>
      <c r="M19" s="673" t="s">
        <v>173</v>
      </c>
      <c r="N19" s="673" t="s">
        <v>178</v>
      </c>
      <c r="O19" s="673" t="s">
        <v>449</v>
      </c>
      <c r="P19" s="673" t="s">
        <v>449</v>
      </c>
      <c r="Q19" s="673" t="s">
        <v>159</v>
      </c>
      <c r="R19" s="673">
        <f t="shared" si="0"/>
        <v>1</v>
      </c>
      <c r="S19" s="673">
        <f t="shared" si="1"/>
        <v>1</v>
      </c>
      <c r="T19" s="673">
        <f t="shared" si="2"/>
        <v>0.8</v>
      </c>
      <c r="U19" s="673">
        <v>0</v>
      </c>
      <c r="V19" s="670" t="s">
        <v>458</v>
      </c>
    </row>
    <row r="20" spans="1:26" ht="12.75" customHeight="1" x14ac:dyDescent="0.2">
      <c r="A20" s="671">
        <v>2600</v>
      </c>
      <c r="B20" s="672" t="s">
        <v>155</v>
      </c>
      <c r="C20" s="672" t="s">
        <v>154</v>
      </c>
      <c r="D20" s="673">
        <v>3</v>
      </c>
      <c r="E20" s="673">
        <v>2</v>
      </c>
      <c r="F20" s="673">
        <v>0.25</v>
      </c>
      <c r="G20" s="673">
        <v>0.1</v>
      </c>
      <c r="H20" s="673">
        <v>2</v>
      </c>
      <c r="I20" s="673">
        <v>0.5</v>
      </c>
      <c r="J20" s="673">
        <v>1</v>
      </c>
      <c r="K20" s="673">
        <v>1</v>
      </c>
      <c r="L20" s="673" t="b">
        <v>0</v>
      </c>
      <c r="M20" s="673" t="s">
        <v>173</v>
      </c>
      <c r="N20" s="673" t="s">
        <v>178</v>
      </c>
      <c r="O20" s="673" t="s">
        <v>449</v>
      </c>
      <c r="P20" s="673" t="s">
        <v>449</v>
      </c>
      <c r="Q20" s="673" t="s">
        <v>459</v>
      </c>
      <c r="R20" s="673">
        <f t="shared" si="0"/>
        <v>1</v>
      </c>
      <c r="S20" s="673">
        <f t="shared" si="1"/>
        <v>1</v>
      </c>
      <c r="T20" s="673" t="b">
        <f t="shared" si="2"/>
        <v>0</v>
      </c>
      <c r="U20" s="673">
        <v>1</v>
      </c>
      <c r="V20" s="670" t="s">
        <v>460</v>
      </c>
    </row>
    <row r="21" spans="1:26" ht="12.75" customHeight="1" x14ac:dyDescent="0.2">
      <c r="A21" s="671">
        <v>2700</v>
      </c>
      <c r="B21" s="672" t="s">
        <v>134</v>
      </c>
      <c r="C21" s="672" t="s">
        <v>133</v>
      </c>
      <c r="D21" s="673">
        <v>6.25</v>
      </c>
      <c r="E21" s="673">
        <v>1</v>
      </c>
      <c r="F21" s="673">
        <v>0.7</v>
      </c>
      <c r="G21" s="673">
        <v>0.2</v>
      </c>
      <c r="H21" s="673">
        <v>3</v>
      </c>
      <c r="I21" s="673">
        <v>0.5</v>
      </c>
      <c r="J21" s="673">
        <v>1</v>
      </c>
      <c r="K21" s="673">
        <v>1</v>
      </c>
      <c r="L21" s="673">
        <v>0.8</v>
      </c>
      <c r="M21" s="673" t="s">
        <v>173</v>
      </c>
      <c r="N21" s="673" t="s">
        <v>178</v>
      </c>
      <c r="O21" s="673" t="s">
        <v>449</v>
      </c>
      <c r="P21" s="673" t="s">
        <v>449</v>
      </c>
      <c r="Q21" s="673" t="s">
        <v>159</v>
      </c>
      <c r="R21" s="673">
        <f t="shared" si="0"/>
        <v>1</v>
      </c>
      <c r="S21" s="673">
        <f t="shared" si="1"/>
        <v>1</v>
      </c>
      <c r="T21" s="673">
        <f t="shared" si="2"/>
        <v>0.8</v>
      </c>
      <c r="U21" s="673">
        <v>1</v>
      </c>
      <c r="V21" s="670" t="s">
        <v>461</v>
      </c>
    </row>
    <row r="22" spans="1:26" ht="12.75" customHeight="1" x14ac:dyDescent="0.2">
      <c r="A22" s="671">
        <v>2800</v>
      </c>
      <c r="B22" s="672" t="s">
        <v>141</v>
      </c>
      <c r="C22" s="672" t="s">
        <v>140</v>
      </c>
      <c r="D22" s="673">
        <v>24</v>
      </c>
      <c r="E22" s="673">
        <v>1</v>
      </c>
      <c r="F22" s="673">
        <v>0.7</v>
      </c>
      <c r="G22" s="673">
        <v>0.3</v>
      </c>
      <c r="H22" s="673">
        <v>10</v>
      </c>
      <c r="I22" s="673">
        <v>1</v>
      </c>
      <c r="J22" s="673">
        <v>1</v>
      </c>
      <c r="K22" s="673">
        <v>0.5</v>
      </c>
      <c r="L22" s="673">
        <v>0.5</v>
      </c>
      <c r="M22" s="674" t="s">
        <v>171</v>
      </c>
      <c r="N22" s="673" t="s">
        <v>178</v>
      </c>
      <c r="O22" s="673" t="s">
        <v>449</v>
      </c>
      <c r="P22" s="673" t="s">
        <v>448</v>
      </c>
      <c r="Q22" s="673" t="s">
        <v>451</v>
      </c>
      <c r="R22" s="673">
        <f t="shared" si="0"/>
        <v>1</v>
      </c>
      <c r="S22" s="673">
        <f t="shared" si="1"/>
        <v>0.5</v>
      </c>
      <c r="T22" s="673">
        <f t="shared" si="2"/>
        <v>0.5</v>
      </c>
      <c r="U22" s="673">
        <v>1</v>
      </c>
      <c r="V22" s="670" t="s">
        <v>462</v>
      </c>
    </row>
    <row r="23" spans="1:26" ht="12.75" customHeight="1" x14ac:dyDescent="0.2">
      <c r="A23" s="671">
        <v>2900</v>
      </c>
      <c r="B23" s="678" t="s">
        <v>99</v>
      </c>
      <c r="C23" s="680" t="s">
        <v>98</v>
      </c>
      <c r="D23" s="679">
        <v>1.5</v>
      </c>
      <c r="E23" s="679">
        <v>1</v>
      </c>
      <c r="F23" s="679">
        <v>0.75</v>
      </c>
      <c r="G23" s="679">
        <v>0.3</v>
      </c>
      <c r="H23" s="679">
        <v>2</v>
      </c>
      <c r="I23" s="679">
        <v>0.5</v>
      </c>
      <c r="J23" s="673">
        <v>1</v>
      </c>
      <c r="K23" s="673">
        <v>1</v>
      </c>
      <c r="L23" s="673">
        <v>0.5</v>
      </c>
      <c r="M23" s="673" t="s">
        <v>173</v>
      </c>
      <c r="N23" s="673" t="s">
        <v>178</v>
      </c>
      <c r="O23" s="673" t="s">
        <v>449</v>
      </c>
      <c r="P23" s="673" t="s">
        <v>449</v>
      </c>
      <c r="Q23" s="673" t="s">
        <v>451</v>
      </c>
      <c r="R23" s="673">
        <f t="shared" si="0"/>
        <v>1</v>
      </c>
      <c r="S23" s="673">
        <f t="shared" si="1"/>
        <v>1</v>
      </c>
      <c r="T23" s="673">
        <f t="shared" si="2"/>
        <v>0.5</v>
      </c>
      <c r="U23" s="673">
        <v>1</v>
      </c>
      <c r="V23" s="670" t="s">
        <v>372</v>
      </c>
    </row>
    <row r="24" spans="1:26" ht="12.75" customHeight="1" x14ac:dyDescent="0.2">
      <c r="A24" s="671">
        <v>3000</v>
      </c>
      <c r="B24" s="672" t="s">
        <v>185</v>
      </c>
      <c r="C24" s="672" t="s">
        <v>185</v>
      </c>
      <c r="D24" s="673">
        <v>35</v>
      </c>
      <c r="E24" s="673">
        <v>0.65</v>
      </c>
      <c r="F24" s="673">
        <v>0.85</v>
      </c>
      <c r="G24" s="673">
        <v>0.5</v>
      </c>
      <c r="H24" s="673">
        <v>12</v>
      </c>
      <c r="I24" s="673">
        <v>0.8</v>
      </c>
      <c r="J24" s="673">
        <v>1</v>
      </c>
      <c r="K24" s="673">
        <v>0.5</v>
      </c>
      <c r="L24" s="673">
        <v>0.2</v>
      </c>
      <c r="M24" s="673" t="s">
        <v>171</v>
      </c>
      <c r="N24" s="673" t="s">
        <v>360</v>
      </c>
      <c r="O24" s="673" t="s">
        <v>449</v>
      </c>
      <c r="P24" s="673" t="s">
        <v>448</v>
      </c>
      <c r="Q24" s="673" t="s">
        <v>161</v>
      </c>
      <c r="R24" s="673">
        <f t="shared" si="0"/>
        <v>1</v>
      </c>
      <c r="S24" s="673">
        <f t="shared" si="1"/>
        <v>0.5</v>
      </c>
      <c r="T24" s="673">
        <f t="shared" si="2"/>
        <v>0.2</v>
      </c>
      <c r="U24" s="673">
        <v>0</v>
      </c>
      <c r="V24" s="670" t="s">
        <v>463</v>
      </c>
    </row>
    <row r="25" spans="1:26" s="26" customFormat="1" ht="12.75" customHeight="1" x14ac:dyDescent="0.2">
      <c r="A25" s="671">
        <v>3100</v>
      </c>
      <c r="B25" s="672" t="s">
        <v>0</v>
      </c>
      <c r="C25" s="672" t="s">
        <v>95</v>
      </c>
      <c r="D25" s="673">
        <v>24</v>
      </c>
      <c r="E25" s="673">
        <v>2</v>
      </c>
      <c r="F25" s="673">
        <v>0.8</v>
      </c>
      <c r="G25" s="673">
        <v>0.5</v>
      </c>
      <c r="H25" s="673">
        <v>10</v>
      </c>
      <c r="I25" s="673">
        <v>1</v>
      </c>
      <c r="J25" s="673">
        <v>1</v>
      </c>
      <c r="K25" s="673">
        <v>1</v>
      </c>
      <c r="L25" s="673">
        <v>0.5</v>
      </c>
      <c r="M25" s="674" t="s">
        <v>171</v>
      </c>
      <c r="N25" s="673" t="s">
        <v>178</v>
      </c>
      <c r="O25" s="673" t="s">
        <v>449</v>
      </c>
      <c r="P25" s="673" t="s">
        <v>449</v>
      </c>
      <c r="Q25" s="673" t="s">
        <v>451</v>
      </c>
      <c r="R25" s="673">
        <f t="shared" si="0"/>
        <v>1</v>
      </c>
      <c r="S25" s="673">
        <f t="shared" si="1"/>
        <v>1</v>
      </c>
      <c r="T25" s="673">
        <f t="shared" si="2"/>
        <v>0.5</v>
      </c>
      <c r="U25" s="673">
        <v>1</v>
      </c>
      <c r="V25" s="670" t="s">
        <v>455</v>
      </c>
    </row>
    <row r="26" spans="1:26" s="26" customFormat="1" ht="12.75" customHeight="1" x14ac:dyDescent="0.2">
      <c r="A26" s="671">
        <v>3200</v>
      </c>
      <c r="B26" s="672" t="s">
        <v>368</v>
      </c>
      <c r="C26" s="672" t="s">
        <v>89</v>
      </c>
      <c r="D26" s="673">
        <v>2</v>
      </c>
      <c r="E26" s="673">
        <v>0.34</v>
      </c>
      <c r="F26" s="673">
        <v>0.65</v>
      </c>
      <c r="G26" s="673">
        <v>0.45</v>
      </c>
      <c r="H26" s="673">
        <v>2</v>
      </c>
      <c r="I26" s="673">
        <v>0.39</v>
      </c>
      <c r="J26" s="673">
        <v>1</v>
      </c>
      <c r="K26" s="673">
        <v>0.5</v>
      </c>
      <c r="L26" s="673">
        <v>0.8</v>
      </c>
      <c r="M26" s="673" t="s">
        <v>173</v>
      </c>
      <c r="N26" s="673" t="s">
        <v>178</v>
      </c>
      <c r="O26" s="673" t="s">
        <v>449</v>
      </c>
      <c r="P26" s="673" t="s">
        <v>448</v>
      </c>
      <c r="Q26" s="673" t="s">
        <v>159</v>
      </c>
      <c r="R26" s="673">
        <f t="shared" si="0"/>
        <v>1</v>
      </c>
      <c r="S26" s="673">
        <f t="shared" si="1"/>
        <v>0.5</v>
      </c>
      <c r="T26" s="673">
        <f t="shared" si="2"/>
        <v>0.8</v>
      </c>
      <c r="U26" s="673">
        <v>1</v>
      </c>
      <c r="V26" s="670" t="s">
        <v>457</v>
      </c>
    </row>
    <row r="27" spans="1:26" s="26" customFormat="1" ht="12.75" customHeight="1" x14ac:dyDescent="0.2">
      <c r="A27" s="671">
        <v>3300</v>
      </c>
      <c r="B27" s="678" t="s">
        <v>187</v>
      </c>
      <c r="C27" s="678" t="s">
        <v>186</v>
      </c>
      <c r="D27" s="679">
        <v>4</v>
      </c>
      <c r="E27" s="679">
        <v>0.66666666666666663</v>
      </c>
      <c r="F27" s="679">
        <v>0.7</v>
      </c>
      <c r="G27" s="679">
        <v>0.3</v>
      </c>
      <c r="H27" s="679">
        <v>4</v>
      </c>
      <c r="I27" s="679">
        <v>0.66666666666666663</v>
      </c>
      <c r="J27" s="673">
        <v>1</v>
      </c>
      <c r="K27" s="673">
        <v>1</v>
      </c>
      <c r="L27" s="673">
        <v>0.2</v>
      </c>
      <c r="M27" s="673" t="s">
        <v>173</v>
      </c>
      <c r="N27" s="673" t="s">
        <v>178</v>
      </c>
      <c r="O27" s="673" t="s">
        <v>449</v>
      </c>
      <c r="P27" s="673" t="s">
        <v>449</v>
      </c>
      <c r="Q27" s="673" t="s">
        <v>161</v>
      </c>
      <c r="R27" s="673">
        <f t="shared" si="0"/>
        <v>1</v>
      </c>
      <c r="S27" s="673">
        <f t="shared" si="1"/>
        <v>1</v>
      </c>
      <c r="T27" s="673">
        <f t="shared" si="2"/>
        <v>0.2</v>
      </c>
      <c r="U27" s="673">
        <v>1</v>
      </c>
      <c r="V27" s="670" t="s">
        <v>374</v>
      </c>
    </row>
    <row r="28" spans="1:26" ht="12.75" customHeight="1" x14ac:dyDescent="0.2">
      <c r="A28" s="671">
        <v>3400</v>
      </c>
      <c r="B28" s="672" t="s">
        <v>2</v>
      </c>
      <c r="C28" s="672" t="s">
        <v>101</v>
      </c>
      <c r="D28" s="673">
        <v>5</v>
      </c>
      <c r="E28" s="673">
        <v>0.5</v>
      </c>
      <c r="F28" s="673">
        <v>0.65</v>
      </c>
      <c r="G28" s="673">
        <v>0.7</v>
      </c>
      <c r="H28" s="673">
        <v>3.5</v>
      </c>
      <c r="I28" s="673">
        <v>0.38</v>
      </c>
      <c r="J28" s="673">
        <v>1</v>
      </c>
      <c r="K28" s="673">
        <v>0.5</v>
      </c>
      <c r="L28" s="673">
        <v>0.8</v>
      </c>
      <c r="M28" s="673" t="s">
        <v>173</v>
      </c>
      <c r="N28" s="673" t="s">
        <v>178</v>
      </c>
      <c r="O28" s="673" t="s">
        <v>449</v>
      </c>
      <c r="P28" s="673" t="s">
        <v>448</v>
      </c>
      <c r="Q28" s="673" t="s">
        <v>159</v>
      </c>
      <c r="R28" s="673">
        <f t="shared" si="0"/>
        <v>1</v>
      </c>
      <c r="S28" s="673">
        <f t="shared" si="1"/>
        <v>0.5</v>
      </c>
      <c r="T28" s="673">
        <f t="shared" si="2"/>
        <v>0.8</v>
      </c>
      <c r="U28" s="673">
        <v>1</v>
      </c>
      <c r="V28" s="670" t="s">
        <v>462</v>
      </c>
    </row>
    <row r="29" spans="1:26" ht="12.75" customHeight="1" x14ac:dyDescent="0.2">
      <c r="A29" s="671">
        <v>3500</v>
      </c>
      <c r="B29" s="672" t="s">
        <v>83</v>
      </c>
      <c r="C29" s="672" t="s">
        <v>82</v>
      </c>
      <c r="D29" s="673">
        <v>1</v>
      </c>
      <c r="E29" s="673">
        <v>1</v>
      </c>
      <c r="F29" s="673">
        <v>0.95</v>
      </c>
      <c r="G29" s="673">
        <v>0.95</v>
      </c>
      <c r="H29" s="673">
        <v>0.5</v>
      </c>
      <c r="I29" s="673">
        <v>0.5</v>
      </c>
      <c r="J29" s="673">
        <v>0.5</v>
      </c>
      <c r="K29" s="673">
        <v>1</v>
      </c>
      <c r="L29" s="673">
        <v>0.2</v>
      </c>
      <c r="M29" s="673" t="s">
        <v>172</v>
      </c>
      <c r="N29" s="673" t="s">
        <v>178</v>
      </c>
      <c r="O29" s="673" t="s">
        <v>448</v>
      </c>
      <c r="P29" s="673" t="s">
        <v>449</v>
      </c>
      <c r="Q29" s="673" t="s">
        <v>161</v>
      </c>
      <c r="R29" s="673">
        <f t="shared" si="0"/>
        <v>0.5</v>
      </c>
      <c r="S29" s="673">
        <f t="shared" si="1"/>
        <v>1</v>
      </c>
      <c r="T29" s="673">
        <f t="shared" si="2"/>
        <v>0.2</v>
      </c>
      <c r="U29" s="673">
        <v>1</v>
      </c>
      <c r="V29" s="670" t="s">
        <v>464</v>
      </c>
    </row>
    <row r="30" spans="1:26" ht="12.75" customHeight="1" x14ac:dyDescent="0.2">
      <c r="A30" s="671">
        <v>3600</v>
      </c>
      <c r="B30" s="672" t="s">
        <v>85</v>
      </c>
      <c r="C30" s="672" t="s">
        <v>84</v>
      </c>
      <c r="D30" s="673">
        <v>2</v>
      </c>
      <c r="E30" s="673">
        <v>2</v>
      </c>
      <c r="F30" s="673">
        <v>0.95</v>
      </c>
      <c r="G30" s="673">
        <v>0.95</v>
      </c>
      <c r="H30" s="673">
        <v>0.5</v>
      </c>
      <c r="I30" s="673">
        <v>0.5</v>
      </c>
      <c r="J30" s="673">
        <v>1</v>
      </c>
      <c r="K30" s="673">
        <v>1</v>
      </c>
      <c r="L30" s="673" t="b">
        <v>0</v>
      </c>
      <c r="M30" s="673" t="s">
        <v>172</v>
      </c>
      <c r="N30" s="673" t="s">
        <v>178</v>
      </c>
      <c r="O30" s="673" t="s">
        <v>449</v>
      </c>
      <c r="P30" s="673" t="s">
        <v>449</v>
      </c>
      <c r="Q30" s="673" t="s">
        <v>465</v>
      </c>
      <c r="R30" s="673">
        <f t="shared" si="0"/>
        <v>1</v>
      </c>
      <c r="S30" s="673">
        <f t="shared" si="1"/>
        <v>1</v>
      </c>
      <c r="T30" s="673" t="b">
        <f t="shared" si="2"/>
        <v>0</v>
      </c>
      <c r="U30" s="673">
        <v>1</v>
      </c>
      <c r="V30" s="670" t="s">
        <v>466</v>
      </c>
    </row>
    <row r="31" spans="1:26" ht="12.75" customHeight="1" x14ac:dyDescent="0.2">
      <c r="A31" s="671">
        <v>3700</v>
      </c>
      <c r="B31" s="672" t="s">
        <v>192</v>
      </c>
      <c r="C31" s="672" t="s">
        <v>191</v>
      </c>
      <c r="D31" s="673">
        <v>30</v>
      </c>
      <c r="E31" s="673">
        <v>1</v>
      </c>
      <c r="F31" s="673">
        <v>0.8</v>
      </c>
      <c r="G31" s="673">
        <v>0.5</v>
      </c>
      <c r="H31" s="673">
        <v>12</v>
      </c>
      <c r="I31" s="673">
        <v>0.75</v>
      </c>
      <c r="J31" s="673">
        <v>0.5</v>
      </c>
      <c r="K31" s="673">
        <v>1</v>
      </c>
      <c r="L31" s="673">
        <v>0.5</v>
      </c>
      <c r="M31" s="674" t="s">
        <v>171</v>
      </c>
      <c r="N31" s="673" t="s">
        <v>194</v>
      </c>
      <c r="O31" s="673" t="s">
        <v>448</v>
      </c>
      <c r="P31" s="673" t="s">
        <v>449</v>
      </c>
      <c r="Q31" s="673" t="s">
        <v>451</v>
      </c>
      <c r="R31" s="673">
        <f t="shared" si="0"/>
        <v>0.5</v>
      </c>
      <c r="S31" s="673">
        <f t="shared" si="1"/>
        <v>1</v>
      </c>
      <c r="T31" s="673">
        <f t="shared" si="2"/>
        <v>0.5</v>
      </c>
      <c r="U31" s="673">
        <v>0</v>
      </c>
      <c r="V31" s="670" t="s">
        <v>373</v>
      </c>
    </row>
    <row r="32" spans="1:26" ht="12.75" customHeight="1" x14ac:dyDescent="0.2">
      <c r="A32" s="671">
        <v>3800</v>
      </c>
      <c r="B32" s="672" t="s">
        <v>366</v>
      </c>
      <c r="C32" s="672" t="s">
        <v>366</v>
      </c>
      <c r="D32" s="673">
        <v>4</v>
      </c>
      <c r="E32" s="673">
        <v>1</v>
      </c>
      <c r="F32" s="673">
        <v>0.75</v>
      </c>
      <c r="G32" s="673">
        <v>0.2</v>
      </c>
      <c r="H32" s="673">
        <v>2</v>
      </c>
      <c r="I32" s="673">
        <v>0.5</v>
      </c>
      <c r="J32" s="673">
        <v>1</v>
      </c>
      <c r="K32" s="673">
        <v>1</v>
      </c>
      <c r="L32" s="673">
        <v>0.2</v>
      </c>
      <c r="M32" s="673" t="s">
        <v>173</v>
      </c>
      <c r="N32" s="673" t="s">
        <v>181</v>
      </c>
      <c r="O32" s="673" t="s">
        <v>449</v>
      </c>
      <c r="P32" s="673" t="s">
        <v>449</v>
      </c>
      <c r="Q32" s="673" t="s">
        <v>161</v>
      </c>
      <c r="R32" s="673">
        <f t="shared" si="0"/>
        <v>1</v>
      </c>
      <c r="S32" s="673">
        <f t="shared" si="1"/>
        <v>1</v>
      </c>
      <c r="T32" s="673">
        <f t="shared" si="2"/>
        <v>0.2</v>
      </c>
      <c r="U32" s="673">
        <v>0</v>
      </c>
      <c r="V32" s="670" t="s">
        <v>467</v>
      </c>
    </row>
    <row r="33" spans="1:22" ht="12.75" customHeight="1" x14ac:dyDescent="0.2">
      <c r="A33" s="671">
        <v>3900</v>
      </c>
      <c r="B33" s="672" t="s">
        <v>364</v>
      </c>
      <c r="C33" s="672" t="s">
        <v>364</v>
      </c>
      <c r="D33" s="679">
        <v>3</v>
      </c>
      <c r="E33" s="679">
        <v>0.2</v>
      </c>
      <c r="F33" s="673">
        <v>0.8</v>
      </c>
      <c r="G33" s="673">
        <v>0.3</v>
      </c>
      <c r="H33" s="679">
        <v>3</v>
      </c>
      <c r="I33" s="679">
        <v>0.35</v>
      </c>
      <c r="J33" s="673">
        <v>1</v>
      </c>
      <c r="K33" s="673">
        <v>1</v>
      </c>
      <c r="L33" s="673">
        <v>0.8</v>
      </c>
      <c r="M33" s="673" t="s">
        <v>173</v>
      </c>
      <c r="N33" s="673" t="s">
        <v>194</v>
      </c>
      <c r="O33" s="673" t="s">
        <v>449</v>
      </c>
      <c r="P33" s="673" t="s">
        <v>449</v>
      </c>
      <c r="Q33" s="673" t="s">
        <v>159</v>
      </c>
      <c r="R33" s="673">
        <f t="shared" si="0"/>
        <v>1</v>
      </c>
      <c r="S33" s="673">
        <f t="shared" si="1"/>
        <v>1</v>
      </c>
      <c r="T33" s="673">
        <f t="shared" si="2"/>
        <v>0.8</v>
      </c>
      <c r="U33" s="673">
        <v>0</v>
      </c>
      <c r="V33" s="670" t="s">
        <v>468</v>
      </c>
    </row>
    <row r="34" spans="1:22" ht="12.75" customHeight="1" x14ac:dyDescent="0.2">
      <c r="A34" s="671">
        <v>4000</v>
      </c>
      <c r="B34" s="672" t="s">
        <v>4</v>
      </c>
      <c r="C34" s="672" t="s">
        <v>93</v>
      </c>
      <c r="D34" s="673">
        <v>8</v>
      </c>
      <c r="E34" s="673">
        <v>1.24</v>
      </c>
      <c r="F34" s="673">
        <v>0.9</v>
      </c>
      <c r="G34" s="673">
        <v>0.5</v>
      </c>
      <c r="H34" s="673">
        <v>6</v>
      </c>
      <c r="I34" s="673">
        <v>0.55000000000000004</v>
      </c>
      <c r="J34" s="673" t="b">
        <v>0</v>
      </c>
      <c r="K34" s="673" t="b">
        <v>0</v>
      </c>
      <c r="L34" s="673" t="b">
        <v>0</v>
      </c>
      <c r="M34" s="674" t="s">
        <v>171</v>
      </c>
      <c r="N34" s="673" t="s">
        <v>181</v>
      </c>
      <c r="O34" s="673">
        <v>0</v>
      </c>
      <c r="P34" s="673">
        <v>0</v>
      </c>
      <c r="Q34" s="673">
        <v>0</v>
      </c>
      <c r="R34" s="673" t="b">
        <f t="shared" si="0"/>
        <v>0</v>
      </c>
      <c r="S34" s="673" t="b">
        <f t="shared" si="1"/>
        <v>0</v>
      </c>
      <c r="T34" s="673" t="b">
        <f t="shared" si="2"/>
        <v>0</v>
      </c>
      <c r="U34" s="673">
        <v>0</v>
      </c>
      <c r="V34" s="670" t="s">
        <v>375</v>
      </c>
    </row>
    <row r="35" spans="1:22" ht="12.75" customHeight="1" x14ac:dyDescent="0.2">
      <c r="A35" s="671">
        <v>4100</v>
      </c>
      <c r="B35" s="672" t="s">
        <v>166</v>
      </c>
      <c r="C35" s="672" t="s">
        <v>139</v>
      </c>
      <c r="D35" s="673">
        <v>35</v>
      </c>
      <c r="E35" s="673">
        <v>0.5</v>
      </c>
      <c r="F35" s="673">
        <v>0.3</v>
      </c>
      <c r="G35" s="673">
        <v>0.1</v>
      </c>
      <c r="H35" s="673">
        <v>5</v>
      </c>
      <c r="I35" s="673">
        <v>0.8</v>
      </c>
      <c r="J35" s="673">
        <v>1</v>
      </c>
      <c r="K35" s="673">
        <v>0.5</v>
      </c>
      <c r="L35" s="673">
        <v>0.8</v>
      </c>
      <c r="M35" s="674" t="s">
        <v>171</v>
      </c>
      <c r="N35" s="673" t="s">
        <v>178</v>
      </c>
      <c r="O35" s="673" t="s">
        <v>449</v>
      </c>
      <c r="P35" s="673" t="s">
        <v>448</v>
      </c>
      <c r="Q35" s="673" t="s">
        <v>159</v>
      </c>
      <c r="R35" s="673">
        <f t="shared" si="0"/>
        <v>1</v>
      </c>
      <c r="S35" s="673">
        <f t="shared" si="1"/>
        <v>0.5</v>
      </c>
      <c r="T35" s="673">
        <f t="shared" si="2"/>
        <v>0.8</v>
      </c>
      <c r="U35" s="673">
        <v>0</v>
      </c>
      <c r="V35" s="670" t="s">
        <v>373</v>
      </c>
    </row>
    <row r="36" spans="1:22" ht="12.75" customHeight="1" x14ac:dyDescent="0.2">
      <c r="A36" s="671">
        <v>4200</v>
      </c>
      <c r="B36" s="672" t="s">
        <v>370</v>
      </c>
      <c r="C36" s="671" t="s">
        <v>102</v>
      </c>
      <c r="D36" s="673">
        <v>9</v>
      </c>
      <c r="E36" s="673">
        <v>3</v>
      </c>
      <c r="F36" s="673">
        <v>0.95</v>
      </c>
      <c r="G36" s="673">
        <v>0.95</v>
      </c>
      <c r="H36" s="673">
        <v>1</v>
      </c>
      <c r="I36" s="673">
        <v>1</v>
      </c>
      <c r="J36" s="673">
        <v>0.5</v>
      </c>
      <c r="K36" s="673">
        <v>1</v>
      </c>
      <c r="L36" s="673">
        <v>0.2</v>
      </c>
      <c r="M36" s="673" t="s">
        <v>172</v>
      </c>
      <c r="N36" s="673" t="s">
        <v>181</v>
      </c>
      <c r="O36" s="673" t="s">
        <v>448</v>
      </c>
      <c r="P36" s="673" t="s">
        <v>449</v>
      </c>
      <c r="Q36" s="673" t="s">
        <v>161</v>
      </c>
      <c r="R36" s="673">
        <f t="shared" si="0"/>
        <v>0.5</v>
      </c>
      <c r="S36" s="673">
        <f t="shared" si="1"/>
        <v>1</v>
      </c>
      <c r="T36" s="673">
        <f t="shared" si="2"/>
        <v>0.2</v>
      </c>
      <c r="U36" s="673">
        <v>0</v>
      </c>
      <c r="V36" s="670" t="s">
        <v>469</v>
      </c>
    </row>
    <row r="37" spans="1:22" ht="12.75" customHeight="1" x14ac:dyDescent="0.2">
      <c r="A37" s="671">
        <v>4300</v>
      </c>
      <c r="B37" s="672" t="s">
        <v>190</v>
      </c>
      <c r="C37" s="672" t="s">
        <v>190</v>
      </c>
      <c r="D37" s="673">
        <v>0.2</v>
      </c>
      <c r="E37" s="673">
        <v>0.2</v>
      </c>
      <c r="F37" s="673">
        <v>0.95</v>
      </c>
      <c r="G37" s="673">
        <v>0.95</v>
      </c>
      <c r="H37" s="673">
        <v>0.1</v>
      </c>
      <c r="I37" s="673">
        <v>0.1</v>
      </c>
      <c r="J37" s="673">
        <v>0.5</v>
      </c>
      <c r="K37" s="673">
        <v>1</v>
      </c>
      <c r="L37" s="673">
        <v>0.2</v>
      </c>
      <c r="M37" s="673" t="s">
        <v>172</v>
      </c>
      <c r="N37" s="673" t="s">
        <v>178</v>
      </c>
      <c r="O37" s="673" t="s">
        <v>448</v>
      </c>
      <c r="P37" s="673" t="s">
        <v>449</v>
      </c>
      <c r="Q37" s="673" t="s">
        <v>161</v>
      </c>
      <c r="R37" s="673">
        <f t="shared" ref="R37:R65" si="3">IF(O37="No", 0.5, IF(O37="Yes",1))</f>
        <v>0.5</v>
      </c>
      <c r="S37" s="673">
        <f t="shared" si="1"/>
        <v>1</v>
      </c>
      <c r="T37" s="673">
        <f t="shared" si="2"/>
        <v>0.2</v>
      </c>
      <c r="U37" s="673">
        <v>0</v>
      </c>
      <c r="V37" s="681" t="s">
        <v>470</v>
      </c>
    </row>
    <row r="38" spans="1:22" ht="12.75" customHeight="1" x14ac:dyDescent="0.2">
      <c r="A38" s="671">
        <v>4400</v>
      </c>
      <c r="B38" s="672" t="s">
        <v>189</v>
      </c>
      <c r="C38" s="672" t="s">
        <v>189</v>
      </c>
      <c r="D38" s="673">
        <v>0.8</v>
      </c>
      <c r="E38" s="673">
        <v>0.8</v>
      </c>
      <c r="F38" s="673">
        <v>0.95</v>
      </c>
      <c r="G38" s="673">
        <v>0.95</v>
      </c>
      <c r="H38" s="673">
        <v>0.1</v>
      </c>
      <c r="I38" s="673">
        <v>0.1</v>
      </c>
      <c r="J38" s="673">
        <v>1</v>
      </c>
      <c r="K38" s="673">
        <v>1</v>
      </c>
      <c r="L38" s="673">
        <v>0.5</v>
      </c>
      <c r="M38" s="673" t="s">
        <v>172</v>
      </c>
      <c r="N38" s="673" t="s">
        <v>178</v>
      </c>
      <c r="O38" s="673" t="s">
        <v>449</v>
      </c>
      <c r="P38" s="673" t="s">
        <v>449</v>
      </c>
      <c r="Q38" s="673" t="s">
        <v>451</v>
      </c>
      <c r="R38" s="673">
        <f t="shared" si="3"/>
        <v>1</v>
      </c>
      <c r="S38" s="673">
        <f t="shared" si="1"/>
        <v>1</v>
      </c>
      <c r="T38" s="673">
        <f t="shared" si="2"/>
        <v>0.5</v>
      </c>
      <c r="U38" s="673">
        <v>1</v>
      </c>
      <c r="V38" s="670" t="s">
        <v>471</v>
      </c>
    </row>
    <row r="39" spans="1:22" ht="12.75" customHeight="1" x14ac:dyDescent="0.2">
      <c r="A39" s="671">
        <v>4500</v>
      </c>
      <c r="B39" s="672" t="s">
        <v>188</v>
      </c>
      <c r="C39" s="672" t="s">
        <v>188</v>
      </c>
      <c r="D39" s="673">
        <v>0.8</v>
      </c>
      <c r="E39" s="673">
        <v>0.8</v>
      </c>
      <c r="F39" s="673">
        <v>0.95</v>
      </c>
      <c r="G39" s="673">
        <v>0.95</v>
      </c>
      <c r="H39" s="673">
        <v>0.1</v>
      </c>
      <c r="I39" s="673">
        <v>0.1</v>
      </c>
      <c r="J39" s="673">
        <v>1</v>
      </c>
      <c r="K39" s="673">
        <v>1</v>
      </c>
      <c r="L39" s="673">
        <v>0.2</v>
      </c>
      <c r="M39" s="673" t="s">
        <v>172</v>
      </c>
      <c r="N39" s="673" t="s">
        <v>178</v>
      </c>
      <c r="O39" s="673" t="s">
        <v>449</v>
      </c>
      <c r="P39" s="673" t="s">
        <v>449</v>
      </c>
      <c r="Q39" s="673" t="s">
        <v>161</v>
      </c>
      <c r="R39" s="673">
        <f t="shared" si="3"/>
        <v>1</v>
      </c>
      <c r="S39" s="673">
        <f t="shared" si="1"/>
        <v>1</v>
      </c>
      <c r="T39" s="673">
        <f t="shared" si="2"/>
        <v>0.2</v>
      </c>
      <c r="U39" s="673">
        <v>1</v>
      </c>
      <c r="V39" s="670" t="s">
        <v>472</v>
      </c>
    </row>
    <row r="40" spans="1:22" ht="12.75" customHeight="1" x14ac:dyDescent="0.2">
      <c r="A40" s="671">
        <v>4600</v>
      </c>
      <c r="B40" s="672" t="s">
        <v>197</v>
      </c>
      <c r="C40" s="676" t="s">
        <v>359</v>
      </c>
      <c r="D40" s="673">
        <v>1.5</v>
      </c>
      <c r="E40" s="673">
        <v>1</v>
      </c>
      <c r="F40" s="673">
        <v>0.95</v>
      </c>
      <c r="G40" s="673">
        <v>0.5</v>
      </c>
      <c r="H40" s="673">
        <v>3</v>
      </c>
      <c r="I40" s="673">
        <v>2</v>
      </c>
      <c r="J40" s="673">
        <v>1</v>
      </c>
      <c r="K40" s="673">
        <v>1</v>
      </c>
      <c r="L40" s="673">
        <v>0.2</v>
      </c>
      <c r="M40" s="673" t="s">
        <v>173</v>
      </c>
      <c r="N40" s="673" t="s">
        <v>181</v>
      </c>
      <c r="O40" s="673" t="s">
        <v>449</v>
      </c>
      <c r="P40" s="673" t="s">
        <v>449</v>
      </c>
      <c r="Q40" s="673" t="s">
        <v>161</v>
      </c>
      <c r="R40" s="673">
        <f t="shared" si="3"/>
        <v>1</v>
      </c>
      <c r="S40" s="673">
        <f t="shared" si="1"/>
        <v>1</v>
      </c>
      <c r="T40" s="673">
        <f t="shared" si="2"/>
        <v>0.2</v>
      </c>
      <c r="U40" s="673">
        <v>0</v>
      </c>
      <c r="V40" s="682" t="s">
        <v>473</v>
      </c>
    </row>
    <row r="41" spans="1:22" ht="12.75" customHeight="1" x14ac:dyDescent="0.2">
      <c r="A41" s="671">
        <v>4700</v>
      </c>
      <c r="B41" s="672" t="s">
        <v>153</v>
      </c>
      <c r="C41" s="672" t="s">
        <v>152</v>
      </c>
      <c r="D41" s="673">
        <v>30</v>
      </c>
      <c r="E41" s="673">
        <v>0.5</v>
      </c>
      <c r="F41" s="673">
        <v>0.9</v>
      </c>
      <c r="G41" s="673">
        <v>0.2</v>
      </c>
      <c r="H41" s="673">
        <v>10</v>
      </c>
      <c r="I41" s="673">
        <v>1</v>
      </c>
      <c r="J41" s="673">
        <v>1</v>
      </c>
      <c r="K41" s="673">
        <v>1</v>
      </c>
      <c r="L41" s="673">
        <v>0.5</v>
      </c>
      <c r="M41" s="674" t="s">
        <v>171</v>
      </c>
      <c r="N41" s="673" t="s">
        <v>178</v>
      </c>
      <c r="O41" s="673" t="s">
        <v>449</v>
      </c>
      <c r="P41" s="673" t="s">
        <v>449</v>
      </c>
      <c r="Q41" s="673" t="s">
        <v>451</v>
      </c>
      <c r="R41" s="673">
        <f t="shared" si="3"/>
        <v>1</v>
      </c>
      <c r="S41" s="673">
        <f t="shared" si="1"/>
        <v>1</v>
      </c>
      <c r="T41" s="673">
        <f t="shared" si="2"/>
        <v>0.5</v>
      </c>
      <c r="U41" s="673">
        <v>0</v>
      </c>
      <c r="V41" s="670" t="s">
        <v>373</v>
      </c>
    </row>
    <row r="42" spans="1:22" ht="12.75" customHeight="1" x14ac:dyDescent="0.2">
      <c r="A42" s="671">
        <v>4800</v>
      </c>
      <c r="B42" s="678" t="s">
        <v>125</v>
      </c>
      <c r="C42" s="678" t="s">
        <v>124</v>
      </c>
      <c r="D42" s="679">
        <v>3</v>
      </c>
      <c r="E42" s="679">
        <v>0.2</v>
      </c>
      <c r="F42" s="673">
        <v>0.8</v>
      </c>
      <c r="G42" s="673">
        <v>0.3</v>
      </c>
      <c r="H42" s="679">
        <v>3</v>
      </c>
      <c r="I42" s="679">
        <v>0.3</v>
      </c>
      <c r="J42" s="673">
        <v>1</v>
      </c>
      <c r="K42" s="673">
        <v>0.5</v>
      </c>
      <c r="L42" s="673">
        <v>0.5</v>
      </c>
      <c r="M42" s="673" t="s">
        <v>173</v>
      </c>
      <c r="N42" s="673" t="s">
        <v>178</v>
      </c>
      <c r="O42" s="673" t="s">
        <v>449</v>
      </c>
      <c r="P42" s="673" t="s">
        <v>448</v>
      </c>
      <c r="Q42" s="673" t="s">
        <v>451</v>
      </c>
      <c r="R42" s="673">
        <f t="shared" si="3"/>
        <v>1</v>
      </c>
      <c r="S42" s="673">
        <f t="shared" si="1"/>
        <v>0.5</v>
      </c>
      <c r="T42" s="673">
        <f t="shared" si="2"/>
        <v>0.5</v>
      </c>
      <c r="U42" s="673">
        <v>1</v>
      </c>
      <c r="V42" s="670" t="s">
        <v>373</v>
      </c>
    </row>
    <row r="43" spans="1:22" ht="12.75" customHeight="1" x14ac:dyDescent="0.2">
      <c r="A43" s="671">
        <v>4900</v>
      </c>
      <c r="B43" s="672" t="s">
        <v>143</v>
      </c>
      <c r="C43" s="672" t="s">
        <v>142</v>
      </c>
      <c r="D43" s="673">
        <v>25</v>
      </c>
      <c r="E43" s="673">
        <v>0.6</v>
      </c>
      <c r="F43" s="673">
        <v>0.9</v>
      </c>
      <c r="G43" s="673">
        <v>0.3</v>
      </c>
      <c r="H43" s="673">
        <v>10</v>
      </c>
      <c r="I43" s="673">
        <v>1</v>
      </c>
      <c r="J43" s="673">
        <v>1</v>
      </c>
      <c r="K43" s="673">
        <v>1</v>
      </c>
      <c r="L43" s="673">
        <v>0.8</v>
      </c>
      <c r="M43" s="674" t="s">
        <v>171</v>
      </c>
      <c r="N43" s="673" t="s">
        <v>178</v>
      </c>
      <c r="O43" s="673" t="s">
        <v>449</v>
      </c>
      <c r="P43" s="673" t="s">
        <v>449</v>
      </c>
      <c r="Q43" s="673" t="s">
        <v>159</v>
      </c>
      <c r="R43" s="673">
        <f t="shared" si="3"/>
        <v>1</v>
      </c>
      <c r="S43" s="673">
        <f t="shared" si="1"/>
        <v>1</v>
      </c>
      <c r="T43" s="673">
        <f t="shared" si="2"/>
        <v>0.8</v>
      </c>
      <c r="U43" s="673">
        <v>1</v>
      </c>
      <c r="V43" s="670" t="s">
        <v>373</v>
      </c>
    </row>
    <row r="44" spans="1:22" ht="12.75" customHeight="1" x14ac:dyDescent="0.2">
      <c r="A44" s="671">
        <v>5000</v>
      </c>
      <c r="B44" s="672" t="s">
        <v>86</v>
      </c>
      <c r="C44" s="672" t="s">
        <v>86</v>
      </c>
      <c r="D44" s="673">
        <v>4</v>
      </c>
      <c r="E44" s="679">
        <v>0.66666666666666663</v>
      </c>
      <c r="F44" s="679">
        <v>0.7</v>
      </c>
      <c r="G44" s="679">
        <v>0.3</v>
      </c>
      <c r="H44" s="679">
        <v>4</v>
      </c>
      <c r="I44" s="679">
        <v>0.66666666666666663</v>
      </c>
      <c r="J44" s="673">
        <v>1</v>
      </c>
      <c r="K44" s="673">
        <v>1</v>
      </c>
      <c r="L44" s="673">
        <v>0.5</v>
      </c>
      <c r="M44" s="673" t="s">
        <v>173</v>
      </c>
      <c r="N44" s="673" t="s">
        <v>178</v>
      </c>
      <c r="O44" s="673" t="s">
        <v>449</v>
      </c>
      <c r="P44" s="673" t="s">
        <v>449</v>
      </c>
      <c r="Q44" s="673" t="s">
        <v>451</v>
      </c>
      <c r="R44" s="673">
        <f t="shared" si="3"/>
        <v>1</v>
      </c>
      <c r="S44" s="673">
        <f t="shared" si="1"/>
        <v>1</v>
      </c>
      <c r="T44" s="673">
        <f t="shared" si="2"/>
        <v>0.5</v>
      </c>
      <c r="U44" s="673">
        <v>1</v>
      </c>
      <c r="V44" s="670" t="s">
        <v>474</v>
      </c>
    </row>
    <row r="45" spans="1:22" ht="12.75" customHeight="1" x14ac:dyDescent="0.2">
      <c r="A45" s="671">
        <v>5100</v>
      </c>
      <c r="B45" s="672" t="s">
        <v>157</v>
      </c>
      <c r="C45" s="672" t="s">
        <v>156</v>
      </c>
      <c r="D45" s="673">
        <v>5</v>
      </c>
      <c r="E45" s="673">
        <v>0.3</v>
      </c>
      <c r="F45" s="673">
        <v>0.5</v>
      </c>
      <c r="G45" s="673">
        <v>0.1</v>
      </c>
      <c r="H45" s="673">
        <v>3</v>
      </c>
      <c r="I45" s="673">
        <v>0.5</v>
      </c>
      <c r="J45" s="673">
        <v>1</v>
      </c>
      <c r="K45" s="673">
        <v>0.5</v>
      </c>
      <c r="L45" s="673">
        <v>0.8</v>
      </c>
      <c r="M45" s="673" t="s">
        <v>173</v>
      </c>
      <c r="N45" s="673" t="s">
        <v>178</v>
      </c>
      <c r="O45" s="673" t="s">
        <v>449</v>
      </c>
      <c r="P45" s="673" t="s">
        <v>448</v>
      </c>
      <c r="Q45" s="673" t="s">
        <v>159</v>
      </c>
      <c r="R45" s="673">
        <f t="shared" si="3"/>
        <v>1</v>
      </c>
      <c r="S45" s="673">
        <f t="shared" si="1"/>
        <v>0.5</v>
      </c>
      <c r="T45" s="673">
        <f t="shared" si="2"/>
        <v>0.8</v>
      </c>
      <c r="U45" s="673">
        <v>1</v>
      </c>
      <c r="V45" s="670" t="s">
        <v>475</v>
      </c>
    </row>
    <row r="46" spans="1:22" ht="12.75" customHeight="1" x14ac:dyDescent="0.2">
      <c r="A46" s="671">
        <v>5200</v>
      </c>
      <c r="B46" s="672" t="s">
        <v>71</v>
      </c>
      <c r="C46" s="672" t="s">
        <v>104</v>
      </c>
      <c r="D46" s="673">
        <v>2.5</v>
      </c>
      <c r="E46" s="673">
        <v>2.5</v>
      </c>
      <c r="F46" s="673">
        <v>0.95</v>
      </c>
      <c r="G46" s="673">
        <v>0.95</v>
      </c>
      <c r="H46" s="673">
        <v>0.5</v>
      </c>
      <c r="I46" s="673">
        <v>0.5</v>
      </c>
      <c r="J46" s="673">
        <v>1</v>
      </c>
      <c r="K46" s="673">
        <v>1</v>
      </c>
      <c r="L46" s="673">
        <v>0.5</v>
      </c>
      <c r="M46" s="673" t="s">
        <v>172</v>
      </c>
      <c r="N46" s="673" t="s">
        <v>178</v>
      </c>
      <c r="O46" s="673" t="s">
        <v>449</v>
      </c>
      <c r="P46" s="673" t="s">
        <v>449</v>
      </c>
      <c r="Q46" s="673" t="s">
        <v>451</v>
      </c>
      <c r="R46" s="673">
        <f t="shared" si="3"/>
        <v>1</v>
      </c>
      <c r="S46" s="673">
        <f t="shared" si="1"/>
        <v>1</v>
      </c>
      <c r="T46" s="673">
        <f t="shared" si="2"/>
        <v>0.5</v>
      </c>
      <c r="U46" s="673">
        <v>1</v>
      </c>
      <c r="V46" s="670" t="s">
        <v>476</v>
      </c>
    </row>
    <row r="47" spans="1:22" ht="12.75" customHeight="1" x14ac:dyDescent="0.2">
      <c r="A47" s="671">
        <v>5300</v>
      </c>
      <c r="B47" s="678" t="s">
        <v>117</v>
      </c>
      <c r="C47" s="672" t="s">
        <v>90</v>
      </c>
      <c r="D47" s="679">
        <v>4</v>
      </c>
      <c r="E47" s="679">
        <v>0.56999999999999995</v>
      </c>
      <c r="F47" s="673">
        <v>0.7</v>
      </c>
      <c r="G47" s="673">
        <v>0.3</v>
      </c>
      <c r="H47" s="673">
        <v>2.5</v>
      </c>
      <c r="I47" s="673">
        <v>0.55000000000000004</v>
      </c>
      <c r="J47" s="673">
        <v>1</v>
      </c>
      <c r="K47" s="673">
        <v>1</v>
      </c>
      <c r="L47" s="673">
        <v>0.2</v>
      </c>
      <c r="M47" s="673" t="s">
        <v>173</v>
      </c>
      <c r="N47" s="673" t="s">
        <v>178</v>
      </c>
      <c r="O47" s="673" t="s">
        <v>449</v>
      </c>
      <c r="P47" s="673" t="s">
        <v>449</v>
      </c>
      <c r="Q47" s="673" t="s">
        <v>161</v>
      </c>
      <c r="R47" s="673">
        <f t="shared" si="3"/>
        <v>1</v>
      </c>
      <c r="S47" s="673">
        <f t="shared" si="1"/>
        <v>1</v>
      </c>
      <c r="T47" s="673">
        <f t="shared" si="2"/>
        <v>0.2</v>
      </c>
      <c r="U47" s="673">
        <v>1</v>
      </c>
      <c r="V47" s="670" t="s">
        <v>477</v>
      </c>
    </row>
    <row r="48" spans="1:22" ht="12.75" customHeight="1" x14ac:dyDescent="0.2">
      <c r="A48" s="671">
        <v>5400</v>
      </c>
      <c r="B48" s="672" t="s">
        <v>361</v>
      </c>
      <c r="C48" s="672" t="s">
        <v>361</v>
      </c>
      <c r="D48" s="673">
        <v>20</v>
      </c>
      <c r="E48" s="673">
        <v>1.6666666666666667</v>
      </c>
      <c r="F48" s="673">
        <v>0.73333333333333339</v>
      </c>
      <c r="G48" s="673">
        <v>0.3666666666666667</v>
      </c>
      <c r="H48" s="673">
        <v>10</v>
      </c>
      <c r="I48" s="673">
        <v>1.2166666666666666</v>
      </c>
      <c r="J48" s="673">
        <v>1</v>
      </c>
      <c r="K48" s="673">
        <v>1</v>
      </c>
      <c r="L48" s="673">
        <v>0.2</v>
      </c>
      <c r="M48" s="674" t="s">
        <v>171</v>
      </c>
      <c r="N48" s="673" t="s">
        <v>178</v>
      </c>
      <c r="O48" s="673" t="s">
        <v>449</v>
      </c>
      <c r="P48" s="673" t="s">
        <v>449</v>
      </c>
      <c r="Q48" s="673" t="s">
        <v>161</v>
      </c>
      <c r="R48" s="673">
        <f t="shared" si="3"/>
        <v>1</v>
      </c>
      <c r="S48" s="673">
        <f t="shared" si="1"/>
        <v>1</v>
      </c>
      <c r="T48" s="673">
        <f t="shared" si="2"/>
        <v>0.2</v>
      </c>
      <c r="U48" s="673">
        <v>1</v>
      </c>
      <c r="V48" s="670" t="s">
        <v>478</v>
      </c>
    </row>
    <row r="49" spans="1:22" ht="12.75" customHeight="1" x14ac:dyDescent="0.2">
      <c r="A49" s="671">
        <v>5500</v>
      </c>
      <c r="B49" s="672" t="s">
        <v>121</v>
      </c>
      <c r="C49" s="672" t="s">
        <v>121</v>
      </c>
      <c r="D49" s="673">
        <v>10</v>
      </c>
      <c r="E49" s="673">
        <v>0.5</v>
      </c>
      <c r="F49" s="673">
        <v>0.85</v>
      </c>
      <c r="G49" s="673">
        <v>0.5</v>
      </c>
      <c r="H49" s="673">
        <v>6</v>
      </c>
      <c r="I49" s="673">
        <v>0.6</v>
      </c>
      <c r="J49" s="673">
        <v>1</v>
      </c>
      <c r="K49" s="673">
        <v>1</v>
      </c>
      <c r="L49" s="673">
        <v>0.2</v>
      </c>
      <c r="M49" s="674" t="s">
        <v>171</v>
      </c>
      <c r="N49" s="673" t="s">
        <v>194</v>
      </c>
      <c r="O49" s="673" t="s">
        <v>449</v>
      </c>
      <c r="P49" s="673" t="s">
        <v>449</v>
      </c>
      <c r="Q49" s="673" t="s">
        <v>161</v>
      </c>
      <c r="R49" s="673">
        <f t="shared" si="3"/>
        <v>1</v>
      </c>
      <c r="S49" s="673">
        <f t="shared" si="1"/>
        <v>1</v>
      </c>
      <c r="T49" s="673">
        <f t="shared" si="2"/>
        <v>0.2</v>
      </c>
      <c r="U49" s="673">
        <v>0</v>
      </c>
      <c r="V49" s="670" t="s">
        <v>479</v>
      </c>
    </row>
    <row r="50" spans="1:22" ht="12.75" customHeight="1" x14ac:dyDescent="0.2">
      <c r="A50" s="671">
        <v>5600</v>
      </c>
      <c r="B50" s="672" t="s">
        <v>138</v>
      </c>
      <c r="C50" s="672" t="s">
        <v>137</v>
      </c>
      <c r="D50" s="673">
        <v>22</v>
      </c>
      <c r="E50" s="673">
        <v>1</v>
      </c>
      <c r="F50" s="673">
        <v>0.9</v>
      </c>
      <c r="G50" s="673">
        <v>0.5</v>
      </c>
      <c r="H50" s="673">
        <v>10</v>
      </c>
      <c r="I50" s="673">
        <v>1.5</v>
      </c>
      <c r="J50" s="673">
        <v>1</v>
      </c>
      <c r="K50" s="673">
        <v>1</v>
      </c>
      <c r="L50" s="673">
        <v>0.2</v>
      </c>
      <c r="M50" s="674" t="s">
        <v>171</v>
      </c>
      <c r="N50" s="673" t="s">
        <v>178</v>
      </c>
      <c r="O50" s="673" t="s">
        <v>449</v>
      </c>
      <c r="P50" s="673" t="s">
        <v>449</v>
      </c>
      <c r="Q50" s="673" t="s">
        <v>161</v>
      </c>
      <c r="R50" s="673">
        <f t="shared" si="3"/>
        <v>1</v>
      </c>
      <c r="S50" s="673">
        <f t="shared" si="1"/>
        <v>1</v>
      </c>
      <c r="T50" s="673">
        <f t="shared" si="2"/>
        <v>0.2</v>
      </c>
      <c r="U50" s="673">
        <v>1</v>
      </c>
      <c r="V50" s="670" t="s">
        <v>462</v>
      </c>
    </row>
    <row r="51" spans="1:22" ht="12.75" customHeight="1" x14ac:dyDescent="0.2">
      <c r="A51" s="671">
        <v>5700</v>
      </c>
      <c r="B51" s="672" t="s">
        <v>128</v>
      </c>
      <c r="C51" s="672" t="s">
        <v>127</v>
      </c>
      <c r="D51" s="673">
        <v>8</v>
      </c>
      <c r="E51" s="673">
        <v>2</v>
      </c>
      <c r="F51" s="673">
        <v>0.8</v>
      </c>
      <c r="G51" s="673">
        <v>0.3</v>
      </c>
      <c r="H51" s="673">
        <v>3</v>
      </c>
      <c r="I51" s="673">
        <v>1</v>
      </c>
      <c r="J51" s="673">
        <v>1</v>
      </c>
      <c r="K51" s="673">
        <v>1</v>
      </c>
      <c r="L51" s="673">
        <v>0.8</v>
      </c>
      <c r="M51" s="673" t="s">
        <v>173</v>
      </c>
      <c r="N51" s="673" t="s">
        <v>181</v>
      </c>
      <c r="O51" s="673" t="s">
        <v>449</v>
      </c>
      <c r="P51" s="673" t="s">
        <v>449</v>
      </c>
      <c r="Q51" s="673" t="s">
        <v>159</v>
      </c>
      <c r="R51" s="673">
        <f t="shared" si="3"/>
        <v>1</v>
      </c>
      <c r="S51" s="673">
        <f t="shared" si="1"/>
        <v>1</v>
      </c>
      <c r="T51" s="673">
        <f t="shared" si="2"/>
        <v>0.8</v>
      </c>
      <c r="U51" s="673">
        <v>0</v>
      </c>
      <c r="V51" s="670" t="s">
        <v>480</v>
      </c>
    </row>
    <row r="52" spans="1:22" ht="12.75" customHeight="1" x14ac:dyDescent="0.2">
      <c r="A52" s="671">
        <v>5800</v>
      </c>
      <c r="B52" s="672" t="s">
        <v>195</v>
      </c>
      <c r="C52" s="672" t="s">
        <v>96</v>
      </c>
      <c r="D52" s="673">
        <v>10</v>
      </c>
      <c r="E52" s="673">
        <v>0.5</v>
      </c>
      <c r="F52" s="673">
        <v>0.85</v>
      </c>
      <c r="G52" s="673">
        <v>0.5</v>
      </c>
      <c r="H52" s="673">
        <v>6</v>
      </c>
      <c r="I52" s="673">
        <v>0.6</v>
      </c>
      <c r="J52" s="673">
        <v>1</v>
      </c>
      <c r="K52" s="673">
        <v>1</v>
      </c>
      <c r="L52" s="673">
        <v>0.2</v>
      </c>
      <c r="M52" s="674" t="s">
        <v>171</v>
      </c>
      <c r="N52" s="673" t="s">
        <v>193</v>
      </c>
      <c r="O52" s="673" t="s">
        <v>449</v>
      </c>
      <c r="P52" s="673" t="s">
        <v>449</v>
      </c>
      <c r="Q52" s="673" t="s">
        <v>161</v>
      </c>
      <c r="R52" s="673">
        <f t="shared" si="3"/>
        <v>1</v>
      </c>
      <c r="S52" s="673">
        <f t="shared" si="1"/>
        <v>1</v>
      </c>
      <c r="T52" s="673">
        <f t="shared" si="2"/>
        <v>0.2</v>
      </c>
      <c r="U52" s="673">
        <v>0</v>
      </c>
      <c r="V52" s="670" t="s">
        <v>481</v>
      </c>
    </row>
    <row r="53" spans="1:22" ht="12.75" customHeight="1" x14ac:dyDescent="0.2">
      <c r="A53" s="671">
        <v>5900</v>
      </c>
      <c r="B53" s="672" t="s">
        <v>369</v>
      </c>
      <c r="C53" s="676" t="s">
        <v>97</v>
      </c>
      <c r="D53" s="673">
        <v>25</v>
      </c>
      <c r="E53" s="673">
        <v>0.72499999999999998</v>
      </c>
      <c r="F53" s="673">
        <v>0.78749999999999998</v>
      </c>
      <c r="G53" s="673">
        <v>0.28750000000000003</v>
      </c>
      <c r="H53" s="673">
        <v>10</v>
      </c>
      <c r="I53" s="673">
        <v>1.075</v>
      </c>
      <c r="J53" s="673">
        <v>1</v>
      </c>
      <c r="K53" s="673">
        <v>0.5</v>
      </c>
      <c r="L53" s="673">
        <v>0.5</v>
      </c>
      <c r="M53" s="674" t="s">
        <v>171</v>
      </c>
      <c r="N53" s="673" t="s">
        <v>178</v>
      </c>
      <c r="O53" s="673" t="s">
        <v>449</v>
      </c>
      <c r="P53" s="673" t="s">
        <v>448</v>
      </c>
      <c r="Q53" s="673" t="s">
        <v>451</v>
      </c>
      <c r="R53" s="673">
        <f t="shared" si="3"/>
        <v>1</v>
      </c>
      <c r="S53" s="673">
        <f t="shared" si="1"/>
        <v>0.5</v>
      </c>
      <c r="T53" s="673">
        <f t="shared" si="2"/>
        <v>0.5</v>
      </c>
      <c r="U53" s="673">
        <v>1</v>
      </c>
      <c r="V53" s="670" t="s">
        <v>482</v>
      </c>
    </row>
    <row r="54" spans="1:22" ht="12.75" customHeight="1" x14ac:dyDescent="0.2">
      <c r="A54" s="671">
        <v>6000</v>
      </c>
      <c r="B54" s="672" t="s">
        <v>201</v>
      </c>
      <c r="C54" s="672" t="s">
        <v>201</v>
      </c>
      <c r="D54" s="673">
        <v>1.5</v>
      </c>
      <c r="E54" s="673">
        <v>1.5</v>
      </c>
      <c r="F54" s="673">
        <v>0.9</v>
      </c>
      <c r="G54" s="673">
        <v>0.9</v>
      </c>
      <c r="H54" s="673">
        <v>0.1</v>
      </c>
      <c r="I54" s="673">
        <v>0.1</v>
      </c>
      <c r="J54" s="673">
        <v>1</v>
      </c>
      <c r="K54" s="673">
        <v>1</v>
      </c>
      <c r="L54" s="673">
        <v>0.5</v>
      </c>
      <c r="M54" s="673" t="s">
        <v>172</v>
      </c>
      <c r="N54" s="673" t="s">
        <v>178</v>
      </c>
      <c r="O54" s="673" t="s">
        <v>449</v>
      </c>
      <c r="P54" s="673" t="s">
        <v>449</v>
      </c>
      <c r="Q54" s="673" t="s">
        <v>451</v>
      </c>
      <c r="R54" s="673">
        <f t="shared" si="3"/>
        <v>1</v>
      </c>
      <c r="S54" s="673">
        <f t="shared" si="1"/>
        <v>1</v>
      </c>
      <c r="T54" s="673">
        <f t="shared" si="2"/>
        <v>0.5</v>
      </c>
      <c r="U54" s="673">
        <v>0</v>
      </c>
      <c r="V54" s="670" t="s">
        <v>483</v>
      </c>
    </row>
    <row r="55" spans="1:22" ht="12.75" customHeight="1" x14ac:dyDescent="0.2">
      <c r="A55" s="671">
        <v>6100</v>
      </c>
      <c r="B55" s="672" t="s">
        <v>202</v>
      </c>
      <c r="C55" s="672" t="s">
        <v>202</v>
      </c>
      <c r="D55" s="673">
        <v>0</v>
      </c>
      <c r="E55" s="673">
        <v>0</v>
      </c>
      <c r="F55" s="673">
        <v>0</v>
      </c>
      <c r="G55" s="673">
        <v>0</v>
      </c>
      <c r="H55" s="673">
        <v>0</v>
      </c>
      <c r="I55" s="673">
        <v>0</v>
      </c>
      <c r="J55" s="673" t="e">
        <v>#N/A</v>
      </c>
      <c r="K55" s="673" t="e">
        <v>#N/A</v>
      </c>
      <c r="L55" s="673" t="e">
        <v>#N/A</v>
      </c>
      <c r="M55" s="673" t="s">
        <v>174</v>
      </c>
      <c r="N55" s="673" t="s">
        <v>183</v>
      </c>
      <c r="O55" s="673" t="e">
        <v>#N/A</v>
      </c>
      <c r="P55" s="673" t="e">
        <v>#N/A</v>
      </c>
      <c r="Q55" s="673" t="e">
        <v>#N/A</v>
      </c>
      <c r="R55" s="673" t="e">
        <f t="shared" si="3"/>
        <v>#N/A</v>
      </c>
      <c r="S55" s="673" t="e">
        <f t="shared" si="1"/>
        <v>#N/A</v>
      </c>
      <c r="T55" s="673" t="e">
        <f t="shared" si="2"/>
        <v>#N/A</v>
      </c>
      <c r="U55" s="673">
        <v>0</v>
      </c>
      <c r="V55" s="682"/>
    </row>
    <row r="56" spans="1:22" ht="12.75" customHeight="1" x14ac:dyDescent="0.2">
      <c r="A56" s="671">
        <v>6200</v>
      </c>
      <c r="B56" s="672" t="s">
        <v>149</v>
      </c>
      <c r="C56" s="676" t="s">
        <v>148</v>
      </c>
      <c r="D56" s="673">
        <v>30</v>
      </c>
      <c r="E56" s="673">
        <v>2</v>
      </c>
      <c r="F56" s="673">
        <v>0.75</v>
      </c>
      <c r="G56" s="673">
        <v>0.3</v>
      </c>
      <c r="H56" s="673">
        <v>15</v>
      </c>
      <c r="I56" s="673">
        <v>1.5</v>
      </c>
      <c r="J56" s="673">
        <v>1</v>
      </c>
      <c r="K56" s="673">
        <v>0.5</v>
      </c>
      <c r="L56" s="673">
        <v>0.5</v>
      </c>
      <c r="M56" s="674" t="s">
        <v>171</v>
      </c>
      <c r="N56" s="673" t="s">
        <v>178</v>
      </c>
      <c r="O56" s="673" t="s">
        <v>449</v>
      </c>
      <c r="P56" s="673" t="s">
        <v>448</v>
      </c>
      <c r="Q56" s="673" t="s">
        <v>451</v>
      </c>
      <c r="R56" s="673">
        <f t="shared" si="3"/>
        <v>1</v>
      </c>
      <c r="S56" s="673">
        <f t="shared" si="1"/>
        <v>0.5</v>
      </c>
      <c r="T56" s="673">
        <f t="shared" si="2"/>
        <v>0.5</v>
      </c>
      <c r="U56" s="673">
        <v>1</v>
      </c>
      <c r="V56" s="670" t="s">
        <v>484</v>
      </c>
    </row>
    <row r="57" spans="1:22" ht="12.75" customHeight="1" x14ac:dyDescent="0.25">
      <c r="A57" s="671">
        <v>6300</v>
      </c>
      <c r="B57" s="672" t="s">
        <v>21</v>
      </c>
      <c r="C57" s="672" t="s">
        <v>21</v>
      </c>
      <c r="D57" s="673">
        <v>2</v>
      </c>
      <c r="E57" s="673">
        <v>0.5</v>
      </c>
      <c r="F57" s="673">
        <v>0.65</v>
      </c>
      <c r="G57" s="673">
        <v>0.65</v>
      </c>
      <c r="H57" s="673">
        <v>2</v>
      </c>
      <c r="I57" s="673">
        <v>0.55000000000000004</v>
      </c>
      <c r="J57" s="673">
        <v>1</v>
      </c>
      <c r="K57" s="673">
        <v>0.5</v>
      </c>
      <c r="L57" s="673">
        <v>0.8</v>
      </c>
      <c r="M57" s="673" t="s">
        <v>173</v>
      </c>
      <c r="N57" s="673" t="s">
        <v>194</v>
      </c>
      <c r="O57" s="673" t="s">
        <v>449</v>
      </c>
      <c r="P57" s="673" t="s">
        <v>448</v>
      </c>
      <c r="Q57" s="673" t="s">
        <v>159</v>
      </c>
      <c r="R57" s="673">
        <f t="shared" si="3"/>
        <v>1</v>
      </c>
      <c r="S57" s="673">
        <f t="shared" si="1"/>
        <v>0.5</v>
      </c>
      <c r="T57" s="673">
        <f t="shared" si="2"/>
        <v>0.8</v>
      </c>
      <c r="U57" s="673">
        <v>0</v>
      </c>
      <c r="V57" s="683" t="s">
        <v>485</v>
      </c>
    </row>
    <row r="58" spans="1:22" ht="12.75" customHeight="1" x14ac:dyDescent="0.2">
      <c r="A58" s="671">
        <v>6400</v>
      </c>
      <c r="B58" s="672" t="s">
        <v>1</v>
      </c>
      <c r="C58" s="672" t="s">
        <v>87</v>
      </c>
      <c r="D58" s="673">
        <v>0</v>
      </c>
      <c r="E58" s="673">
        <v>0</v>
      </c>
      <c r="F58" s="673">
        <v>0</v>
      </c>
      <c r="G58" s="673">
        <v>0</v>
      </c>
      <c r="H58" s="673">
        <v>0</v>
      </c>
      <c r="I58" s="673">
        <v>0</v>
      </c>
      <c r="J58" s="673" t="e">
        <v>#N/A</v>
      </c>
      <c r="K58" s="673" t="e">
        <v>#N/A</v>
      </c>
      <c r="L58" s="673" t="e">
        <v>#N/A</v>
      </c>
      <c r="M58" s="673" t="s">
        <v>87</v>
      </c>
      <c r="N58" s="673" t="s">
        <v>183</v>
      </c>
      <c r="O58" s="673" t="e">
        <v>#N/A</v>
      </c>
      <c r="P58" s="673" t="e">
        <v>#N/A</v>
      </c>
      <c r="Q58" s="673" t="e">
        <v>#N/A</v>
      </c>
      <c r="R58" s="673" t="e">
        <f t="shared" si="3"/>
        <v>#N/A</v>
      </c>
      <c r="S58" s="673" t="e">
        <f t="shared" si="1"/>
        <v>#N/A</v>
      </c>
      <c r="T58" s="673" t="e">
        <f t="shared" si="2"/>
        <v>#N/A</v>
      </c>
      <c r="U58" s="673">
        <v>0</v>
      </c>
      <c r="V58" s="682"/>
    </row>
    <row r="59" spans="1:22" ht="12.75" customHeight="1" x14ac:dyDescent="0.2">
      <c r="A59" s="671">
        <v>6500</v>
      </c>
      <c r="B59" s="671" t="s">
        <v>203</v>
      </c>
      <c r="C59" s="671" t="s">
        <v>203</v>
      </c>
      <c r="D59" s="679">
        <v>1.5</v>
      </c>
      <c r="E59" s="679">
        <v>1.5</v>
      </c>
      <c r="F59" s="673">
        <v>0.95</v>
      </c>
      <c r="G59" s="673">
        <v>0.95</v>
      </c>
      <c r="H59" s="673">
        <v>0.2</v>
      </c>
      <c r="I59" s="673">
        <v>0.2</v>
      </c>
      <c r="J59" s="673">
        <v>1</v>
      </c>
      <c r="K59" s="673">
        <v>1</v>
      </c>
      <c r="L59" s="673">
        <v>0.8</v>
      </c>
      <c r="M59" s="673" t="s">
        <v>172</v>
      </c>
      <c r="N59" s="673" t="s">
        <v>181</v>
      </c>
      <c r="O59" s="673" t="s">
        <v>449</v>
      </c>
      <c r="P59" s="673" t="s">
        <v>449</v>
      </c>
      <c r="Q59" s="673" t="s">
        <v>159</v>
      </c>
      <c r="R59" s="673">
        <f t="shared" si="3"/>
        <v>1</v>
      </c>
      <c r="S59" s="673">
        <f t="shared" si="1"/>
        <v>1</v>
      </c>
      <c r="T59" s="673">
        <f t="shared" si="2"/>
        <v>0.8</v>
      </c>
      <c r="U59" s="673">
        <v>0</v>
      </c>
      <c r="V59" s="670" t="s">
        <v>486</v>
      </c>
    </row>
    <row r="60" spans="1:22" ht="12.75" customHeight="1" x14ac:dyDescent="0.2">
      <c r="A60" s="671">
        <v>6600</v>
      </c>
      <c r="B60" s="672" t="s">
        <v>204</v>
      </c>
      <c r="C60" s="672" t="s">
        <v>204</v>
      </c>
      <c r="D60" s="679">
        <v>1</v>
      </c>
      <c r="E60" s="679">
        <v>1</v>
      </c>
      <c r="F60" s="673">
        <v>0.95</v>
      </c>
      <c r="G60" s="673">
        <v>0.95</v>
      </c>
      <c r="H60" s="673">
        <v>0.2</v>
      </c>
      <c r="I60" s="673">
        <v>0.2</v>
      </c>
      <c r="J60" s="673">
        <v>1</v>
      </c>
      <c r="K60" s="673">
        <v>1</v>
      </c>
      <c r="L60" s="673" t="b">
        <v>0</v>
      </c>
      <c r="M60" s="673" t="s">
        <v>172</v>
      </c>
      <c r="N60" s="673" t="s">
        <v>194</v>
      </c>
      <c r="O60" s="673" t="s">
        <v>449</v>
      </c>
      <c r="P60" s="673" t="s">
        <v>449</v>
      </c>
      <c r="Q60" s="673" t="s">
        <v>465</v>
      </c>
      <c r="R60" s="673">
        <f t="shared" si="3"/>
        <v>1</v>
      </c>
      <c r="S60" s="673">
        <f t="shared" si="1"/>
        <v>1</v>
      </c>
      <c r="T60" s="673" t="b">
        <f t="shared" si="2"/>
        <v>0</v>
      </c>
      <c r="U60" s="673">
        <v>0</v>
      </c>
      <c r="V60" s="670" t="s">
        <v>487</v>
      </c>
    </row>
    <row r="61" spans="1:22" ht="12.75" customHeight="1" x14ac:dyDescent="0.2">
      <c r="A61" s="671">
        <v>6700</v>
      </c>
      <c r="B61" s="672" t="s">
        <v>132</v>
      </c>
      <c r="C61" s="672" t="s">
        <v>131</v>
      </c>
      <c r="D61" s="673">
        <v>20.3125</v>
      </c>
      <c r="E61" s="673">
        <v>1.33</v>
      </c>
      <c r="F61" s="673">
        <v>0.7</v>
      </c>
      <c r="G61" s="673">
        <v>0.2</v>
      </c>
      <c r="H61" s="673">
        <v>8</v>
      </c>
      <c r="I61" s="673">
        <v>1</v>
      </c>
      <c r="J61" s="673">
        <v>1</v>
      </c>
      <c r="K61" s="673">
        <v>1</v>
      </c>
      <c r="L61" s="673">
        <v>0.2</v>
      </c>
      <c r="M61" s="674" t="s">
        <v>171</v>
      </c>
      <c r="N61" s="673" t="s">
        <v>178</v>
      </c>
      <c r="O61" s="673" t="s">
        <v>449</v>
      </c>
      <c r="P61" s="673" t="s">
        <v>449</v>
      </c>
      <c r="Q61" s="673" t="s">
        <v>161</v>
      </c>
      <c r="R61" s="673">
        <f t="shared" si="3"/>
        <v>1</v>
      </c>
      <c r="S61" s="673">
        <f t="shared" si="1"/>
        <v>1</v>
      </c>
      <c r="T61" s="673">
        <f t="shared" si="2"/>
        <v>0.2</v>
      </c>
      <c r="U61" s="673">
        <v>1</v>
      </c>
      <c r="V61" s="670" t="s">
        <v>373</v>
      </c>
    </row>
    <row r="62" spans="1:22" ht="12.75" customHeight="1" x14ac:dyDescent="0.2">
      <c r="A62" s="671">
        <v>6800</v>
      </c>
      <c r="B62" s="672" t="s">
        <v>200</v>
      </c>
      <c r="C62" s="672" t="s">
        <v>169</v>
      </c>
      <c r="D62" s="673">
        <v>10</v>
      </c>
      <c r="E62" s="673">
        <v>0.75</v>
      </c>
      <c r="F62" s="673">
        <v>0.8</v>
      </c>
      <c r="G62" s="673">
        <v>0.43</v>
      </c>
      <c r="H62" s="673">
        <v>7.5</v>
      </c>
      <c r="I62" s="673">
        <v>0.65</v>
      </c>
      <c r="J62" s="673">
        <v>1</v>
      </c>
      <c r="K62" s="673">
        <v>0.5</v>
      </c>
      <c r="L62" s="673">
        <v>0.5</v>
      </c>
      <c r="M62" s="673" t="s">
        <v>173</v>
      </c>
      <c r="N62" s="673" t="s">
        <v>178</v>
      </c>
      <c r="O62" s="673" t="s">
        <v>449</v>
      </c>
      <c r="P62" s="673" t="s">
        <v>448</v>
      </c>
      <c r="Q62" s="673" t="s">
        <v>451</v>
      </c>
      <c r="R62" s="673">
        <f t="shared" si="3"/>
        <v>1</v>
      </c>
      <c r="S62" s="673">
        <f t="shared" si="1"/>
        <v>0.5</v>
      </c>
      <c r="T62" s="673">
        <f t="shared" si="2"/>
        <v>0.5</v>
      </c>
      <c r="U62" s="673">
        <v>1</v>
      </c>
      <c r="V62" s="670" t="s">
        <v>488</v>
      </c>
    </row>
    <row r="63" spans="1:22" ht="12.75" customHeight="1" x14ac:dyDescent="0.2">
      <c r="A63" s="671">
        <v>6900</v>
      </c>
      <c r="B63" s="672" t="s">
        <v>122</v>
      </c>
      <c r="C63" s="672" t="s">
        <v>123</v>
      </c>
      <c r="D63" s="673">
        <v>12</v>
      </c>
      <c r="E63" s="673">
        <v>2</v>
      </c>
      <c r="F63" s="673">
        <v>0.8</v>
      </c>
      <c r="G63" s="673">
        <v>0.3</v>
      </c>
      <c r="H63" s="673">
        <v>10</v>
      </c>
      <c r="I63" s="673">
        <v>0.75</v>
      </c>
      <c r="J63" s="673">
        <v>1</v>
      </c>
      <c r="K63" s="673">
        <v>0.5</v>
      </c>
      <c r="L63" s="673">
        <v>0.5</v>
      </c>
      <c r="M63" s="674" t="s">
        <v>171</v>
      </c>
      <c r="N63" s="673" t="s">
        <v>178</v>
      </c>
      <c r="O63" s="673" t="s">
        <v>449</v>
      </c>
      <c r="P63" s="673" t="s">
        <v>448</v>
      </c>
      <c r="Q63" s="673" t="s">
        <v>451</v>
      </c>
      <c r="R63" s="673">
        <f t="shared" si="3"/>
        <v>1</v>
      </c>
      <c r="S63" s="673">
        <f t="shared" si="1"/>
        <v>0.5</v>
      </c>
      <c r="T63" s="673">
        <f t="shared" si="2"/>
        <v>0.5</v>
      </c>
      <c r="U63" s="673">
        <v>1</v>
      </c>
      <c r="V63" s="670" t="s">
        <v>489</v>
      </c>
    </row>
    <row r="64" spans="1:22" ht="12.75" customHeight="1" x14ac:dyDescent="0.2">
      <c r="A64" s="671">
        <v>7000</v>
      </c>
      <c r="B64" s="672" t="s">
        <v>167</v>
      </c>
      <c r="C64" s="672" t="s">
        <v>168</v>
      </c>
      <c r="D64" s="673">
        <v>12</v>
      </c>
      <c r="E64" s="673">
        <v>2</v>
      </c>
      <c r="F64" s="673">
        <v>0.7</v>
      </c>
      <c r="G64" s="673">
        <v>0.3</v>
      </c>
      <c r="H64" s="673">
        <v>10</v>
      </c>
      <c r="I64" s="673">
        <v>2</v>
      </c>
      <c r="J64" s="673">
        <v>1</v>
      </c>
      <c r="K64" s="673">
        <v>0.5</v>
      </c>
      <c r="L64" s="673">
        <v>0.5</v>
      </c>
      <c r="M64" s="674" t="s">
        <v>171</v>
      </c>
      <c r="N64" s="673" t="s">
        <v>178</v>
      </c>
      <c r="O64" s="673" t="s">
        <v>449</v>
      </c>
      <c r="P64" s="673" t="s">
        <v>448</v>
      </c>
      <c r="Q64" s="673" t="s">
        <v>451</v>
      </c>
      <c r="R64" s="673">
        <f t="shared" si="3"/>
        <v>1</v>
      </c>
      <c r="S64" s="673">
        <f t="shared" si="1"/>
        <v>0.5</v>
      </c>
      <c r="T64" s="673">
        <f t="shared" si="2"/>
        <v>0.5</v>
      </c>
      <c r="U64" s="673">
        <v>1</v>
      </c>
      <c r="V64" s="670" t="s">
        <v>490</v>
      </c>
    </row>
    <row r="65" spans="1:22" ht="12.75" customHeight="1" x14ac:dyDescent="0.2">
      <c r="A65" s="671">
        <v>7100</v>
      </c>
      <c r="B65" s="672" t="s">
        <v>115</v>
      </c>
      <c r="C65" s="672" t="s">
        <v>100</v>
      </c>
      <c r="D65" s="673">
        <v>3.5</v>
      </c>
      <c r="E65" s="673">
        <v>0.73</v>
      </c>
      <c r="F65" s="673">
        <v>0.7</v>
      </c>
      <c r="G65" s="673">
        <v>0.3</v>
      </c>
      <c r="H65" s="673">
        <v>2.5</v>
      </c>
      <c r="I65" s="673">
        <v>0.55000000000000004</v>
      </c>
      <c r="J65" s="673">
        <v>1</v>
      </c>
      <c r="K65" s="673">
        <v>0.5</v>
      </c>
      <c r="L65" s="673">
        <v>0.5</v>
      </c>
      <c r="M65" s="673" t="s">
        <v>173</v>
      </c>
      <c r="N65" s="673" t="s">
        <v>178</v>
      </c>
      <c r="O65" s="673" t="s">
        <v>449</v>
      </c>
      <c r="P65" s="673" t="s">
        <v>448</v>
      </c>
      <c r="Q65" s="673" t="s">
        <v>451</v>
      </c>
      <c r="R65" s="673">
        <f t="shared" si="3"/>
        <v>1</v>
      </c>
      <c r="S65" s="673">
        <f t="shared" si="1"/>
        <v>0.5</v>
      </c>
      <c r="T65" s="673">
        <f t="shared" si="2"/>
        <v>0.5</v>
      </c>
      <c r="U65" s="673">
        <v>1</v>
      </c>
      <c r="V65" s="670" t="s">
        <v>462</v>
      </c>
    </row>
    <row r="66" spans="1:22" x14ac:dyDescent="0.2">
      <c r="A66" s="684" t="s">
        <v>541</v>
      </c>
      <c r="B66" s="684"/>
      <c r="C66" s="684"/>
      <c r="D66" s="673"/>
      <c r="E66" s="673"/>
      <c r="F66" s="673"/>
      <c r="G66" s="673"/>
      <c r="H66" s="673"/>
      <c r="I66" s="673"/>
      <c r="J66" s="684"/>
      <c r="K66" s="684"/>
      <c r="L66" s="684"/>
      <c r="M66" s="673"/>
      <c r="N66" s="673"/>
      <c r="O66" s="684"/>
      <c r="P66" s="684"/>
      <c r="Q66" s="684"/>
      <c r="R66" s="684"/>
      <c r="S66" s="684"/>
      <c r="T66" s="684"/>
      <c r="U66" s="684"/>
      <c r="V66" s="684"/>
    </row>
    <row r="67" spans="1:22" x14ac:dyDescent="0.2">
      <c r="A67" s="684"/>
      <c r="B67" s="684"/>
      <c r="C67" s="684"/>
      <c r="D67" s="673"/>
      <c r="E67" s="673"/>
      <c r="F67" s="673"/>
      <c r="G67" s="673"/>
      <c r="H67" s="673"/>
      <c r="I67" s="673"/>
      <c r="J67" s="684"/>
      <c r="K67" s="684"/>
      <c r="L67" s="684"/>
      <c r="M67" s="673"/>
      <c r="N67" s="673"/>
      <c r="O67" s="684"/>
      <c r="P67" s="684"/>
      <c r="Q67" s="684"/>
      <c r="R67" s="684"/>
      <c r="S67" s="684"/>
      <c r="T67" s="684"/>
      <c r="U67" s="684"/>
      <c r="V67" s="684"/>
    </row>
    <row r="68" spans="1:22" x14ac:dyDescent="0.2">
      <c r="A68" s="684"/>
      <c r="B68" s="685" t="s">
        <v>381</v>
      </c>
      <c r="C68" s="684"/>
      <c r="D68" s="673"/>
      <c r="E68" s="673"/>
      <c r="F68" s="673"/>
      <c r="G68" s="673"/>
      <c r="H68" s="673"/>
      <c r="I68" s="673"/>
      <c r="J68" s="684"/>
      <c r="K68" s="684"/>
      <c r="L68" s="684"/>
      <c r="M68" s="673"/>
      <c r="N68" s="673"/>
      <c r="O68" s="684"/>
      <c r="P68" s="684"/>
      <c r="Q68" s="684"/>
      <c r="R68" s="684"/>
      <c r="S68" s="684"/>
      <c r="T68" s="684"/>
      <c r="U68" s="684"/>
      <c r="V68" s="684"/>
    </row>
    <row r="69" spans="1:22" x14ac:dyDescent="0.2">
      <c r="A69" s="684"/>
      <c r="B69" s="667" t="s">
        <v>158</v>
      </c>
      <c r="C69" s="684" t="s">
        <v>60</v>
      </c>
      <c r="D69" s="673"/>
      <c r="E69" s="673"/>
      <c r="F69" s="673"/>
      <c r="G69" s="673"/>
      <c r="H69" s="673"/>
      <c r="I69" s="673"/>
      <c r="J69" s="684"/>
      <c r="K69" s="684"/>
      <c r="L69" s="684"/>
      <c r="M69" s="673"/>
      <c r="N69" s="673"/>
      <c r="O69" s="684"/>
      <c r="P69" s="684"/>
      <c r="Q69" s="684"/>
      <c r="R69" s="684"/>
      <c r="S69" s="684"/>
      <c r="T69" s="684"/>
      <c r="U69" s="684"/>
      <c r="V69" s="684"/>
    </row>
    <row r="70" spans="1:22" x14ac:dyDescent="0.2">
      <c r="A70" s="684"/>
      <c r="B70" s="670" t="s">
        <v>159</v>
      </c>
      <c r="C70" s="858">
        <v>0.9</v>
      </c>
      <c r="D70" s="673"/>
      <c r="E70" s="673"/>
      <c r="F70" s="673"/>
      <c r="G70" s="673"/>
      <c r="H70" s="673"/>
      <c r="I70" s="673"/>
      <c r="J70" s="684"/>
      <c r="K70" s="684"/>
      <c r="L70" s="684"/>
      <c r="M70" s="673"/>
      <c r="N70" s="673"/>
      <c r="O70" s="684"/>
      <c r="P70" s="684"/>
      <c r="Q70" s="684"/>
      <c r="R70" s="684"/>
      <c r="S70" s="684"/>
      <c r="T70" s="684"/>
      <c r="U70" s="684"/>
      <c r="V70" s="684"/>
    </row>
    <row r="71" spans="1:22" x14ac:dyDescent="0.2">
      <c r="A71" s="684"/>
      <c r="B71" s="670" t="s">
        <v>161</v>
      </c>
      <c r="C71" s="858">
        <v>0.3</v>
      </c>
      <c r="D71" s="673"/>
      <c r="E71" s="673"/>
      <c r="F71" s="673"/>
      <c r="G71" s="673"/>
      <c r="H71" s="673"/>
      <c r="I71" s="673"/>
      <c r="J71" s="684"/>
      <c r="K71" s="684"/>
      <c r="L71" s="684"/>
      <c r="M71" s="673"/>
      <c r="N71" s="673"/>
      <c r="O71" s="684"/>
      <c r="P71" s="684"/>
      <c r="Q71" s="684"/>
      <c r="R71" s="684"/>
      <c r="S71" s="684"/>
      <c r="T71" s="684"/>
      <c r="U71" s="684"/>
      <c r="V71" s="684"/>
    </row>
    <row r="72" spans="1:22" x14ac:dyDescent="0.2">
      <c r="A72" s="684"/>
      <c r="B72" s="670" t="s">
        <v>160</v>
      </c>
      <c r="C72" s="858">
        <v>0.7</v>
      </c>
      <c r="D72" s="673"/>
      <c r="E72" s="673"/>
      <c r="F72" s="673"/>
      <c r="G72" s="673"/>
      <c r="H72" s="673"/>
      <c r="I72" s="673"/>
      <c r="J72" s="684"/>
      <c r="K72" s="684"/>
      <c r="L72" s="684"/>
      <c r="M72" s="673"/>
      <c r="N72" s="673"/>
      <c r="O72" s="684"/>
      <c r="P72" s="684"/>
      <c r="Q72" s="684"/>
      <c r="R72" s="684"/>
      <c r="S72" s="684"/>
      <c r="T72" s="684"/>
      <c r="U72" s="684"/>
      <c r="V72" s="684"/>
    </row>
    <row r="73" spans="1:22" x14ac:dyDescent="0.2">
      <c r="A73" s="684"/>
      <c r="B73" s="670"/>
      <c r="C73" s="686"/>
      <c r="D73" s="673"/>
      <c r="E73" s="673"/>
      <c r="F73" s="673"/>
      <c r="G73" s="673"/>
      <c r="H73" s="673"/>
      <c r="I73" s="673"/>
      <c r="J73" s="684"/>
      <c r="K73" s="684"/>
      <c r="L73" s="684"/>
      <c r="M73" s="673"/>
      <c r="N73" s="673"/>
      <c r="O73" s="684"/>
      <c r="P73" s="684"/>
      <c r="Q73" s="684"/>
      <c r="R73" s="684"/>
      <c r="S73" s="684"/>
      <c r="T73" s="684"/>
      <c r="U73" s="684"/>
      <c r="V73" s="684"/>
    </row>
    <row r="74" spans="1:22" x14ac:dyDescent="0.2">
      <c r="A74" s="684"/>
      <c r="B74" s="667" t="s">
        <v>162</v>
      </c>
      <c r="C74" s="686" t="s">
        <v>163</v>
      </c>
      <c r="D74" s="673"/>
      <c r="E74" s="673"/>
      <c r="F74" s="673"/>
      <c r="G74" s="673"/>
      <c r="H74" s="673"/>
      <c r="I74" s="673"/>
      <c r="J74" s="684"/>
      <c r="K74" s="684"/>
      <c r="L74" s="684"/>
      <c r="M74" s="673"/>
      <c r="N74" s="673"/>
      <c r="O74" s="684"/>
      <c r="P74" s="684"/>
      <c r="Q74" s="684"/>
      <c r="R74" s="684"/>
      <c r="S74" s="684"/>
      <c r="T74" s="684"/>
      <c r="U74" s="684"/>
      <c r="V74" s="684"/>
    </row>
    <row r="75" spans="1:22" x14ac:dyDescent="0.2">
      <c r="A75" s="684"/>
      <c r="B75" s="670" t="s">
        <v>164</v>
      </c>
      <c r="C75" s="858">
        <v>2</v>
      </c>
      <c r="D75" s="673"/>
      <c r="E75" s="673"/>
      <c r="F75" s="673"/>
      <c r="G75" s="673"/>
      <c r="H75" s="673"/>
      <c r="I75" s="673"/>
      <c r="J75" s="684"/>
      <c r="K75" s="684"/>
      <c r="L75" s="684"/>
      <c r="M75" s="673"/>
      <c r="N75" s="673"/>
      <c r="O75" s="684"/>
      <c r="P75" s="684"/>
      <c r="Q75" s="684"/>
      <c r="R75" s="684"/>
      <c r="S75" s="684"/>
      <c r="T75" s="684"/>
      <c r="U75" s="684"/>
      <c r="V75" s="684"/>
    </row>
    <row r="76" spans="1:22" x14ac:dyDescent="0.2">
      <c r="A76" s="684"/>
      <c r="B76" s="670" t="s">
        <v>160</v>
      </c>
      <c r="C76" s="858">
        <v>1</v>
      </c>
      <c r="D76" s="673"/>
      <c r="E76" s="673"/>
      <c r="F76" s="673"/>
      <c r="G76" s="673"/>
      <c r="H76" s="673"/>
      <c r="I76" s="673"/>
      <c r="J76" s="684"/>
      <c r="K76" s="684"/>
      <c r="L76" s="684"/>
      <c r="M76" s="673"/>
      <c r="N76" s="673"/>
      <c r="O76" s="684"/>
      <c r="P76" s="684"/>
      <c r="Q76" s="684"/>
      <c r="R76" s="684"/>
      <c r="S76" s="684"/>
      <c r="T76" s="684"/>
      <c r="U76" s="684"/>
      <c r="V76" s="684"/>
    </row>
    <row r="77" spans="1:22" x14ac:dyDescent="0.2">
      <c r="A77" s="684"/>
      <c r="B77" s="670" t="s">
        <v>165</v>
      </c>
      <c r="C77" s="858">
        <v>0.3</v>
      </c>
      <c r="D77" s="673"/>
      <c r="E77" s="673"/>
      <c r="F77" s="673"/>
      <c r="G77" s="673"/>
      <c r="H77" s="673"/>
      <c r="I77" s="673"/>
      <c r="J77" s="684"/>
      <c r="K77" s="684"/>
      <c r="L77" s="684"/>
      <c r="M77" s="673"/>
      <c r="N77" s="673"/>
      <c r="O77" s="684"/>
      <c r="P77" s="684"/>
      <c r="Q77" s="684"/>
      <c r="R77" s="684"/>
      <c r="S77" s="684"/>
      <c r="T77" s="684"/>
      <c r="U77" s="684"/>
      <c r="V77" s="684"/>
    </row>
    <row r="78" spans="1:22" x14ac:dyDescent="0.2">
      <c r="A78" s="684"/>
      <c r="B78" s="684"/>
      <c r="C78" s="684"/>
      <c r="D78" s="673"/>
      <c r="E78" s="673"/>
      <c r="F78" s="673"/>
      <c r="G78" s="673"/>
      <c r="H78" s="673"/>
      <c r="I78" s="673"/>
      <c r="J78" s="684"/>
      <c r="K78" s="684"/>
      <c r="L78" s="684"/>
      <c r="M78" s="673"/>
      <c r="N78" s="673"/>
      <c r="O78" s="684"/>
      <c r="P78" s="684"/>
      <c r="Q78" s="684"/>
      <c r="R78" s="684"/>
      <c r="S78" s="684"/>
      <c r="T78" s="684"/>
      <c r="U78" s="684"/>
      <c r="V78" s="684"/>
    </row>
    <row r="79" spans="1:22" x14ac:dyDescent="0.2">
      <c r="A79" s="684"/>
      <c r="B79" s="667" t="s">
        <v>491</v>
      </c>
      <c r="C79" s="684"/>
      <c r="D79" s="673"/>
      <c r="E79" s="673"/>
      <c r="F79" s="673"/>
      <c r="G79" s="673"/>
      <c r="H79" s="673"/>
      <c r="I79" s="673"/>
      <c r="J79" s="684"/>
      <c r="K79" s="684"/>
      <c r="L79" s="684"/>
      <c r="M79" s="673"/>
      <c r="N79" s="673"/>
      <c r="O79" s="684"/>
      <c r="P79" s="684"/>
      <c r="Q79" s="684"/>
      <c r="R79" s="684"/>
      <c r="S79" s="684"/>
      <c r="T79" s="684"/>
      <c r="U79" s="684"/>
      <c r="V79" s="684"/>
    </row>
    <row r="80" spans="1:22" ht="63.75" x14ac:dyDescent="0.2">
      <c r="A80" s="684"/>
      <c r="B80" s="670" t="s">
        <v>492</v>
      </c>
      <c r="C80" s="684"/>
      <c r="D80" s="673"/>
      <c r="E80" s="673"/>
      <c r="F80" s="673"/>
      <c r="G80" s="673"/>
      <c r="H80" s="673"/>
      <c r="I80" s="673"/>
      <c r="J80" s="684"/>
      <c r="K80" s="684"/>
      <c r="L80" s="684"/>
      <c r="M80" s="673"/>
      <c r="N80" s="673"/>
      <c r="O80" s="684"/>
      <c r="P80" s="684"/>
      <c r="Q80" s="684"/>
      <c r="R80" s="684"/>
      <c r="S80" s="684"/>
      <c r="T80" s="684"/>
      <c r="U80" s="684"/>
      <c r="V80" s="684"/>
    </row>
    <row r="81" spans="1:22" ht="63.75" x14ac:dyDescent="0.2">
      <c r="A81" s="684"/>
      <c r="B81" s="670" t="s">
        <v>493</v>
      </c>
      <c r="C81" s="684"/>
      <c r="D81" s="673"/>
      <c r="E81" s="673"/>
      <c r="F81" s="673"/>
      <c r="G81" s="673"/>
      <c r="H81" s="673"/>
      <c r="I81" s="673"/>
      <c r="J81" s="684"/>
      <c r="K81" s="684"/>
      <c r="L81" s="684"/>
      <c r="M81" s="673"/>
      <c r="N81" s="673"/>
      <c r="O81" s="684"/>
      <c r="P81" s="684"/>
      <c r="Q81" s="684"/>
      <c r="R81" s="684"/>
      <c r="S81" s="684"/>
      <c r="T81" s="684"/>
      <c r="U81" s="684"/>
      <c r="V81" s="684"/>
    </row>
    <row r="82" spans="1:22" x14ac:dyDescent="0.2">
      <c r="A82" s="684"/>
      <c r="B82" s="667" t="s">
        <v>494</v>
      </c>
      <c r="C82" s="684"/>
      <c r="D82" s="673"/>
      <c r="E82" s="673"/>
      <c r="F82" s="673"/>
      <c r="G82" s="673"/>
      <c r="H82" s="673"/>
      <c r="I82" s="673"/>
      <c r="J82" s="684"/>
      <c r="K82" s="684"/>
      <c r="L82" s="684"/>
      <c r="M82" s="673"/>
      <c r="N82" s="673"/>
      <c r="O82" s="684"/>
      <c r="P82" s="684"/>
      <c r="Q82" s="684"/>
      <c r="R82" s="684"/>
      <c r="S82" s="684"/>
      <c r="T82" s="684"/>
      <c r="U82" s="684"/>
      <c r="V82" s="684"/>
    </row>
    <row r="83" spans="1:22" ht="102" x14ac:dyDescent="0.2">
      <c r="A83" s="684"/>
      <c r="B83" s="670" t="s">
        <v>495</v>
      </c>
      <c r="C83" s="684"/>
      <c r="D83" s="673"/>
      <c r="E83" s="673"/>
      <c r="F83" s="673"/>
      <c r="G83" s="673"/>
      <c r="H83" s="673"/>
      <c r="I83" s="673"/>
      <c r="J83" s="684"/>
      <c r="K83" s="684"/>
      <c r="L83" s="684"/>
      <c r="M83" s="673"/>
      <c r="N83" s="673"/>
      <c r="O83" s="684"/>
      <c r="P83" s="684"/>
      <c r="Q83" s="684"/>
      <c r="R83" s="684"/>
      <c r="S83" s="684"/>
      <c r="T83" s="684"/>
      <c r="U83" s="684"/>
      <c r="V83" s="684"/>
    </row>
    <row r="84" spans="1:22" ht="38.25" x14ac:dyDescent="0.2">
      <c r="A84" s="684"/>
      <c r="B84" s="670" t="s">
        <v>496</v>
      </c>
      <c r="C84" s="684"/>
      <c r="D84" s="673"/>
      <c r="E84" s="673"/>
      <c r="F84" s="673"/>
      <c r="G84" s="673"/>
      <c r="H84" s="673"/>
      <c r="I84" s="673"/>
      <c r="J84" s="684"/>
      <c r="K84" s="684"/>
      <c r="L84" s="684"/>
      <c r="M84" s="673"/>
      <c r="N84" s="673"/>
      <c r="O84" s="684"/>
      <c r="P84" s="684"/>
      <c r="Q84" s="684"/>
      <c r="R84" s="684"/>
      <c r="S84" s="684"/>
      <c r="T84" s="684"/>
      <c r="U84" s="684"/>
      <c r="V84" s="684"/>
    </row>
    <row r="85" spans="1:22" x14ac:dyDescent="0.2">
      <c r="A85" s="684"/>
      <c r="B85" s="684"/>
      <c r="C85" s="684"/>
      <c r="D85" s="673"/>
      <c r="E85" s="673"/>
      <c r="F85" s="673"/>
      <c r="G85" s="673"/>
      <c r="H85" s="673"/>
      <c r="I85" s="673"/>
      <c r="J85" s="684"/>
      <c r="K85" s="684"/>
      <c r="L85" s="684"/>
      <c r="M85" s="673"/>
      <c r="N85" s="673"/>
      <c r="O85" s="684"/>
      <c r="P85" s="684"/>
      <c r="Q85" s="684"/>
      <c r="R85" s="684"/>
      <c r="S85" s="684"/>
      <c r="T85" s="684"/>
      <c r="U85" s="684"/>
      <c r="V85" s="684"/>
    </row>
  </sheetData>
  <sortState ref="A4:L65">
    <sortCondition ref="A4:A65"/>
  </sortState>
  <mergeCells count="2">
    <mergeCell ref="A1:B1"/>
    <mergeCell ref="C1:V1"/>
  </mergeCells>
  <phoneticPr fontId="10" type="noConversion"/>
  <pageMargins left="0.75" right="0.75" top="1" bottom="1" header="0.5" footer="0.5"/>
  <pageSetup scale="6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T507"/>
  <sheetViews>
    <sheetView workbookViewId="0">
      <pane xSplit="1" ySplit="2" topLeftCell="B344" activePane="bottomRight" state="frozen"/>
      <selection pane="topRight" activeCell="B1" sqref="B1"/>
      <selection pane="bottomLeft" activeCell="A3" sqref="A3"/>
      <selection pane="bottomRight" activeCell="P1" sqref="P1"/>
    </sheetView>
  </sheetViews>
  <sheetFormatPr defaultRowHeight="12.75" x14ac:dyDescent="0.2"/>
  <cols>
    <col min="2" max="2" width="10.5703125" bestFit="1" customWidth="1"/>
    <col min="3" max="4" width="9.5703125" bestFit="1" customWidth="1"/>
    <col min="5" max="5" width="10.5703125" bestFit="1" customWidth="1"/>
    <col min="6" max="6" width="9.28515625" bestFit="1" customWidth="1"/>
    <col min="7" max="7" width="11.5703125" bestFit="1" customWidth="1"/>
    <col min="8" max="8" width="7.140625" customWidth="1"/>
    <col min="9" max="9" width="11.42578125" customWidth="1"/>
    <col min="10" max="10" width="9.28515625" bestFit="1" customWidth="1"/>
    <col min="11" max="11" width="9.28515625" customWidth="1"/>
    <col min="12" max="14" width="9.28515625" bestFit="1" customWidth="1"/>
    <col min="15" max="15" width="13" customWidth="1"/>
    <col min="16" max="16" width="13.140625" customWidth="1"/>
    <col min="17" max="17" width="13" customWidth="1"/>
    <col min="19" max="19" width="11.85546875" customWidth="1"/>
  </cols>
  <sheetData>
    <row r="1" spans="1:72" ht="25.5" x14ac:dyDescent="0.2">
      <c r="A1" s="909" t="s">
        <v>722</v>
      </c>
      <c r="B1" s="451" t="s">
        <v>730</v>
      </c>
      <c r="C1" s="451"/>
      <c r="D1" s="451"/>
      <c r="E1" s="451"/>
      <c r="F1" s="451"/>
      <c r="G1" s="451"/>
      <c r="H1" s="451"/>
      <c r="I1" t="s">
        <v>732</v>
      </c>
      <c r="P1" s="77" t="s">
        <v>742</v>
      </c>
      <c r="Q1" s="77" t="s">
        <v>743</v>
      </c>
      <c r="R1" s="77" t="s">
        <v>742</v>
      </c>
      <c r="S1" s="77" t="s">
        <v>743</v>
      </c>
    </row>
    <row r="2" spans="1:72" s="1" customFormat="1" ht="51" x14ac:dyDescent="0.2">
      <c r="A2" s="909" t="s">
        <v>723</v>
      </c>
      <c r="B2" s="1" t="s">
        <v>725</v>
      </c>
      <c r="C2" s="910" t="s">
        <v>727</v>
      </c>
      <c r="D2" s="910" t="s">
        <v>726</v>
      </c>
      <c r="E2" s="910" t="s">
        <v>728</v>
      </c>
      <c r="F2" s="910" t="s">
        <v>729</v>
      </c>
      <c r="G2" s="910" t="s">
        <v>724</v>
      </c>
      <c r="H2" s="910"/>
      <c r="I2" s="1" t="s">
        <v>733</v>
      </c>
      <c r="J2" s="910" t="s">
        <v>734</v>
      </c>
      <c r="K2" s="910" t="s">
        <v>735</v>
      </c>
      <c r="L2" s="910" t="s">
        <v>736</v>
      </c>
      <c r="M2" s="910" t="s">
        <v>737</v>
      </c>
      <c r="N2" s="910" t="s">
        <v>738</v>
      </c>
      <c r="O2" s="910" t="s">
        <v>724</v>
      </c>
      <c r="P2" s="79" t="s">
        <v>746</v>
      </c>
      <c r="Q2" s="79" t="s">
        <v>748</v>
      </c>
      <c r="R2" s="79" t="s">
        <v>747</v>
      </c>
      <c r="S2" s="79" t="s">
        <v>749</v>
      </c>
    </row>
    <row r="3" spans="1:72" x14ac:dyDescent="0.2">
      <c r="A3" s="11">
        <v>1</v>
      </c>
      <c r="B3" s="11">
        <v>0.84558871949699999</v>
      </c>
      <c r="C3" s="11"/>
      <c r="D3" s="11">
        <v>3.61206974412E-2</v>
      </c>
      <c r="E3" s="11"/>
      <c r="F3" s="11"/>
      <c r="G3" s="11">
        <v>0.88170941693820004</v>
      </c>
      <c r="H3" s="11"/>
      <c r="I3" s="914">
        <f>+SUM(B4:B$501)</f>
        <v>2441.5654221006753</v>
      </c>
      <c r="J3" s="914">
        <f>+SUM(C4:C$501)</f>
        <v>499.92946666381772</v>
      </c>
      <c r="K3" s="914">
        <f>+I3+J3</f>
        <v>2941.4948887644932</v>
      </c>
      <c r="L3" s="914">
        <f>+SUM(D4:D$501)</f>
        <v>180.8723070255447</v>
      </c>
      <c r="M3" s="914">
        <f>+SUM(E4:E$501)</f>
        <v>9034.4154099040825</v>
      </c>
      <c r="N3" s="914">
        <f>+SUM(F4:F$501)</f>
        <v>25.555690517223301</v>
      </c>
      <c r="O3" s="914">
        <f>+SUM(G4:G$501)</f>
        <v>12182.33829621135</v>
      </c>
      <c r="P3" s="11">
        <f>IF(E3&gt;0,E3,P4)</f>
        <v>0.99543000964899997</v>
      </c>
      <c r="Q3" s="913">
        <f>+IF(E3&gt;0, 0, Q4+A4-A3)</f>
        <v>26</v>
      </c>
      <c r="R3" s="11">
        <f>IF(F3&gt;0,F3,R4)</f>
        <v>0.29138468123</v>
      </c>
      <c r="S3" s="913">
        <f>+IF(F3&gt;0, 0, S4+A4-A3)</f>
        <v>85</v>
      </c>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row>
    <row r="4" spans="1:72" x14ac:dyDescent="0.2">
      <c r="A4" s="11">
        <v>2</v>
      </c>
      <c r="B4" s="11">
        <v>1.980701440472</v>
      </c>
      <c r="C4" s="11">
        <v>7.3017091370980003E-2</v>
      </c>
      <c r="D4" s="11"/>
      <c r="E4" s="11"/>
      <c r="F4" s="11"/>
      <c r="G4" s="11">
        <v>2.0537185318429803</v>
      </c>
      <c r="H4" s="11"/>
      <c r="I4" s="914">
        <f>+SUM(B5:B$501)</f>
        <v>2439.5847206602029</v>
      </c>
      <c r="J4" s="914">
        <f>+SUM(C5:C$501)</f>
        <v>499.85644957244676</v>
      </c>
      <c r="K4" s="914">
        <f t="shared" ref="K4:K67" si="0">+I4+J4</f>
        <v>2939.4411702326497</v>
      </c>
      <c r="L4" s="914">
        <f>+SUM(D5:D$501)</f>
        <v>180.8723070255447</v>
      </c>
      <c r="M4" s="914">
        <f>+SUM(E5:E$501)</f>
        <v>9034.4154099040825</v>
      </c>
      <c r="N4" s="914">
        <f>+SUM(F5:F$501)</f>
        <v>25.555690517223301</v>
      </c>
      <c r="O4" s="914">
        <f>+SUM(G5:G$501)</f>
        <v>12180.284577679507</v>
      </c>
      <c r="P4" s="11">
        <f t="shared" ref="P4:P67" si="1">IF(E4&gt;0,E4,P5)</f>
        <v>0.99543000964899997</v>
      </c>
      <c r="Q4" s="913">
        <f t="shared" ref="Q4:Q67" si="2">+IF(E4&gt;0, 0, Q5+A5-A4)</f>
        <v>25</v>
      </c>
      <c r="R4" s="11">
        <f t="shared" ref="R4:R67" si="3">IF(F4&gt;0,F4,R5)</f>
        <v>0.29138468123</v>
      </c>
      <c r="S4" s="913">
        <f t="shared" ref="S4:S67" si="4">+IF(F4&gt;0, 0, S5+A5-A4)</f>
        <v>84</v>
      </c>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row>
    <row r="5" spans="1:72" x14ac:dyDescent="0.2">
      <c r="A5" s="11">
        <f>1+A4</f>
        <v>3</v>
      </c>
      <c r="B5" s="11">
        <v>2.8019581283504804</v>
      </c>
      <c r="C5" s="11">
        <v>4.3931475690660006E-2</v>
      </c>
      <c r="D5" s="11"/>
      <c r="E5" s="11"/>
      <c r="F5" s="11"/>
      <c r="G5" s="11">
        <v>2.8458896040411403</v>
      </c>
      <c r="H5" s="11"/>
      <c r="I5" s="914">
        <f>+SUM(B6:B$501)</f>
        <v>2436.7827625318523</v>
      </c>
      <c r="J5" s="914">
        <f>+SUM(C6:C$501)</f>
        <v>499.81251809675609</v>
      </c>
      <c r="K5" s="914">
        <f t="shared" si="0"/>
        <v>2936.5952806286086</v>
      </c>
      <c r="L5" s="914">
        <f>+SUM(D6:D$501)</f>
        <v>180.8723070255447</v>
      </c>
      <c r="M5" s="914">
        <f>+SUM(E6:E$501)</f>
        <v>9034.4154099040825</v>
      </c>
      <c r="N5" s="914">
        <f>+SUM(F6:F$501)</f>
        <v>25.555690517223301</v>
      </c>
      <c r="O5" s="914">
        <f>+SUM(G6:G$501)</f>
        <v>12177.438688075468</v>
      </c>
      <c r="P5" s="11">
        <f t="shared" si="1"/>
        <v>0.99543000964899997</v>
      </c>
      <c r="Q5" s="913">
        <f t="shared" si="2"/>
        <v>24</v>
      </c>
      <c r="R5" s="11">
        <f t="shared" si="3"/>
        <v>0.29138468123</v>
      </c>
      <c r="S5" s="913">
        <f t="shared" si="4"/>
        <v>83</v>
      </c>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row>
    <row r="6" spans="1:72" x14ac:dyDescent="0.2">
      <c r="A6" s="11">
        <f t="shared" ref="A6:A69" si="5">1+A5</f>
        <v>4</v>
      </c>
      <c r="B6" s="11">
        <v>2.65067733323189</v>
      </c>
      <c r="C6" s="11">
        <v>0.20682092269800001</v>
      </c>
      <c r="D6" s="11"/>
      <c r="E6" s="11"/>
      <c r="F6" s="11"/>
      <c r="G6" s="11">
        <v>2.8574982559298903</v>
      </c>
      <c r="H6" s="11"/>
      <c r="I6" s="914">
        <f>+SUM(B7:B$501)</f>
        <v>2434.1320851986211</v>
      </c>
      <c r="J6" s="914">
        <f>+SUM(C7:C$501)</f>
        <v>499.60569717405815</v>
      </c>
      <c r="K6" s="914">
        <f t="shared" si="0"/>
        <v>2933.7377823726792</v>
      </c>
      <c r="L6" s="914">
        <f>+SUM(D7:D$501)</f>
        <v>180.8723070255447</v>
      </c>
      <c r="M6" s="914">
        <f>+SUM(E7:E$501)</f>
        <v>9034.4154099040825</v>
      </c>
      <c r="N6" s="914">
        <f>+SUM(F7:F$501)</f>
        <v>25.555690517223301</v>
      </c>
      <c r="O6" s="914">
        <f>+SUM(G7:G$501)</f>
        <v>12174.581189819535</v>
      </c>
      <c r="P6" s="11">
        <f t="shared" si="1"/>
        <v>0.99543000964899997</v>
      </c>
      <c r="Q6" s="913">
        <f t="shared" si="2"/>
        <v>23</v>
      </c>
      <c r="R6" s="11">
        <f t="shared" si="3"/>
        <v>0.29138468123</v>
      </c>
      <c r="S6" s="913">
        <f t="shared" si="4"/>
        <v>82</v>
      </c>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row>
    <row r="7" spans="1:72" x14ac:dyDescent="0.2">
      <c r="A7" s="11">
        <f t="shared" si="5"/>
        <v>5</v>
      </c>
      <c r="B7" s="11">
        <v>2.7173590258450999</v>
      </c>
      <c r="C7" s="11"/>
      <c r="D7" s="11"/>
      <c r="E7" s="11"/>
      <c r="F7" s="11"/>
      <c r="G7" s="11">
        <v>2.7173590258450999</v>
      </c>
      <c r="H7" s="11"/>
      <c r="I7" s="914">
        <f>+SUM(B8:B$501)</f>
        <v>2431.4147261727758</v>
      </c>
      <c r="J7" s="914">
        <f>+SUM(C8:C$501)</f>
        <v>499.60569717405815</v>
      </c>
      <c r="K7" s="914">
        <f t="shared" si="0"/>
        <v>2931.0204233468339</v>
      </c>
      <c r="L7" s="914">
        <f>+SUM(D8:D$501)</f>
        <v>180.8723070255447</v>
      </c>
      <c r="M7" s="914">
        <f>+SUM(E8:E$501)</f>
        <v>9034.4154099040825</v>
      </c>
      <c r="N7" s="914">
        <f>+SUM(F8:F$501)</f>
        <v>25.555690517223301</v>
      </c>
      <c r="O7" s="914">
        <f>+SUM(G8:G$501)</f>
        <v>12171.863830793693</v>
      </c>
      <c r="P7" s="11">
        <f t="shared" si="1"/>
        <v>0.99543000964899997</v>
      </c>
      <c r="Q7" s="913">
        <f t="shared" si="2"/>
        <v>22</v>
      </c>
      <c r="R7" s="11">
        <f t="shared" si="3"/>
        <v>0.29138468123</v>
      </c>
      <c r="S7" s="913">
        <f t="shared" si="4"/>
        <v>81</v>
      </c>
    </row>
    <row r="8" spans="1:72" x14ac:dyDescent="0.2">
      <c r="A8" s="11">
        <f t="shared" si="5"/>
        <v>6</v>
      </c>
      <c r="B8" s="11">
        <v>2.7704627580835002</v>
      </c>
      <c r="C8" s="11"/>
      <c r="D8" s="11"/>
      <c r="E8" s="11"/>
      <c r="F8" s="11"/>
      <c r="G8" s="11">
        <v>2.7704627580835002</v>
      </c>
      <c r="H8" s="11"/>
      <c r="I8" s="914">
        <f>+SUM(B9:B$501)</f>
        <v>2428.6442634146915</v>
      </c>
      <c r="J8" s="914">
        <f>+SUM(C9:C$501)</f>
        <v>499.60569717405815</v>
      </c>
      <c r="K8" s="914">
        <f t="shared" si="0"/>
        <v>2928.2499605887497</v>
      </c>
      <c r="L8" s="914">
        <f>+SUM(D9:D$501)</f>
        <v>180.8723070255447</v>
      </c>
      <c r="M8" s="914">
        <f>+SUM(E9:E$501)</f>
        <v>9034.4154099040825</v>
      </c>
      <c r="N8" s="914">
        <f>+SUM(F9:F$501)</f>
        <v>25.555690517223301</v>
      </c>
      <c r="O8" s="914">
        <f>+SUM(G9:G$501)</f>
        <v>12169.093368035607</v>
      </c>
      <c r="P8" s="11">
        <f t="shared" si="1"/>
        <v>0.99543000964899997</v>
      </c>
      <c r="Q8" s="913">
        <f t="shared" si="2"/>
        <v>21</v>
      </c>
      <c r="R8" s="11">
        <f t="shared" si="3"/>
        <v>0.29138468123</v>
      </c>
      <c r="S8" s="913">
        <f t="shared" si="4"/>
        <v>80</v>
      </c>
    </row>
    <row r="9" spans="1:72" x14ac:dyDescent="0.2">
      <c r="A9" s="11">
        <f t="shared" si="5"/>
        <v>7</v>
      </c>
      <c r="B9" s="11">
        <v>2.8554928724544002</v>
      </c>
      <c r="C9" s="11"/>
      <c r="D9" s="11"/>
      <c r="E9" s="11"/>
      <c r="F9" s="11"/>
      <c r="G9" s="11">
        <v>2.8554928724544002</v>
      </c>
      <c r="H9" s="11"/>
      <c r="I9" s="914">
        <f>+SUM(B10:B$501)</f>
        <v>2425.7887705422372</v>
      </c>
      <c r="J9" s="914">
        <f>+SUM(C10:C$501)</f>
        <v>499.60569717405815</v>
      </c>
      <c r="K9" s="914">
        <f t="shared" si="0"/>
        <v>2925.3944677162954</v>
      </c>
      <c r="L9" s="914">
        <f>+SUM(D10:D$501)</f>
        <v>180.8723070255447</v>
      </c>
      <c r="M9" s="914">
        <f>+SUM(E10:E$501)</f>
        <v>9034.4154099040825</v>
      </c>
      <c r="N9" s="914">
        <f>+SUM(F10:F$501)</f>
        <v>25.555690517223301</v>
      </c>
      <c r="O9" s="914">
        <f>+SUM(G10:G$501)</f>
        <v>12166.237875163155</v>
      </c>
      <c r="P9" s="11">
        <f t="shared" si="1"/>
        <v>0.99543000964899997</v>
      </c>
      <c r="Q9" s="913">
        <f t="shared" si="2"/>
        <v>20</v>
      </c>
      <c r="R9" s="11">
        <f t="shared" si="3"/>
        <v>0.29138468123</v>
      </c>
      <c r="S9" s="913">
        <f t="shared" si="4"/>
        <v>79</v>
      </c>
    </row>
    <row r="10" spans="1:72" x14ac:dyDescent="0.2">
      <c r="A10" s="11">
        <f t="shared" si="5"/>
        <v>8</v>
      </c>
      <c r="B10" s="11">
        <v>3.7693806298402999</v>
      </c>
      <c r="C10" s="11"/>
      <c r="D10" s="11"/>
      <c r="E10" s="11"/>
      <c r="F10" s="11"/>
      <c r="G10" s="11">
        <v>3.7693806298402999</v>
      </c>
      <c r="H10" s="11"/>
      <c r="I10" s="914">
        <f>+SUM(B11:B$501)</f>
        <v>2422.0193899123979</v>
      </c>
      <c r="J10" s="914">
        <f>+SUM(C11:C$501)</f>
        <v>499.60569717405815</v>
      </c>
      <c r="K10" s="914">
        <f t="shared" si="0"/>
        <v>2921.625087086456</v>
      </c>
      <c r="L10" s="914">
        <f>+SUM(D11:D$501)</f>
        <v>180.8723070255447</v>
      </c>
      <c r="M10" s="914">
        <f>+SUM(E11:E$501)</f>
        <v>9034.4154099040825</v>
      </c>
      <c r="N10" s="914">
        <f>+SUM(F11:F$501)</f>
        <v>25.555690517223301</v>
      </c>
      <c r="O10" s="914">
        <f>+SUM(G11:G$501)</f>
        <v>12162.468494533314</v>
      </c>
      <c r="P10" s="11">
        <f t="shared" si="1"/>
        <v>0.99543000964899997</v>
      </c>
      <c r="Q10" s="913">
        <f t="shared" si="2"/>
        <v>19</v>
      </c>
      <c r="R10" s="11">
        <f t="shared" si="3"/>
        <v>0.29138468123</v>
      </c>
      <c r="S10" s="913">
        <f t="shared" si="4"/>
        <v>78</v>
      </c>
    </row>
    <row r="11" spans="1:72" x14ac:dyDescent="0.2">
      <c r="A11" s="11">
        <f t="shared" si="5"/>
        <v>9</v>
      </c>
      <c r="B11" s="11">
        <v>4.4415833361352997</v>
      </c>
      <c r="C11" s="11"/>
      <c r="D11" s="11"/>
      <c r="E11" s="11"/>
      <c r="F11" s="11"/>
      <c r="G11" s="11">
        <v>4.4415833361352997</v>
      </c>
      <c r="H11" s="11"/>
      <c r="I11" s="914">
        <f>+SUM(B12:B$501)</f>
        <v>2417.5778065762624</v>
      </c>
      <c r="J11" s="914">
        <f>+SUM(C12:C$501)</f>
        <v>499.60569717405815</v>
      </c>
      <c r="K11" s="914">
        <f t="shared" si="0"/>
        <v>2917.1835037503206</v>
      </c>
      <c r="L11" s="914">
        <f>+SUM(D12:D$501)</f>
        <v>180.8723070255447</v>
      </c>
      <c r="M11" s="914">
        <f>+SUM(E12:E$501)</f>
        <v>9034.4154099040825</v>
      </c>
      <c r="N11" s="914">
        <f>+SUM(F12:F$501)</f>
        <v>25.555690517223301</v>
      </c>
      <c r="O11" s="914">
        <f>+SUM(G12:G$501)</f>
        <v>12158.026911197179</v>
      </c>
      <c r="P11" s="11">
        <f t="shared" si="1"/>
        <v>0.99543000964899997</v>
      </c>
      <c r="Q11" s="913">
        <f t="shared" si="2"/>
        <v>18</v>
      </c>
      <c r="R11" s="11">
        <f t="shared" si="3"/>
        <v>0.29138468123</v>
      </c>
      <c r="S11" s="913">
        <f t="shared" si="4"/>
        <v>77</v>
      </c>
    </row>
    <row r="12" spans="1:72" x14ac:dyDescent="0.2">
      <c r="A12" s="11">
        <f t="shared" si="5"/>
        <v>10</v>
      </c>
      <c r="B12" s="11">
        <v>4.4321031432479998</v>
      </c>
      <c r="C12" s="11"/>
      <c r="D12" s="11"/>
      <c r="E12" s="11"/>
      <c r="F12" s="11"/>
      <c r="G12" s="11">
        <v>4.4321031432479998</v>
      </c>
      <c r="H12" s="11"/>
      <c r="I12" s="914">
        <f>+SUM(B13:B$501)</f>
        <v>2413.1457034330142</v>
      </c>
      <c r="J12" s="914">
        <f>+SUM(C13:C$501)</f>
        <v>499.60569717405815</v>
      </c>
      <c r="K12" s="914">
        <f t="shared" si="0"/>
        <v>2912.7514006070724</v>
      </c>
      <c r="L12" s="914">
        <f>+SUM(D13:D$501)</f>
        <v>180.8723070255447</v>
      </c>
      <c r="M12" s="914">
        <f>+SUM(E13:E$501)</f>
        <v>9034.4154099040825</v>
      </c>
      <c r="N12" s="914">
        <f>+SUM(F13:F$501)</f>
        <v>25.555690517223301</v>
      </c>
      <c r="O12" s="914">
        <f>+SUM(G13:G$501)</f>
        <v>12153.594808053931</v>
      </c>
      <c r="P12" s="11">
        <f t="shared" si="1"/>
        <v>0.99543000964899997</v>
      </c>
      <c r="Q12" s="913">
        <f t="shared" si="2"/>
        <v>17</v>
      </c>
      <c r="R12" s="11">
        <f t="shared" si="3"/>
        <v>0.29138468123</v>
      </c>
      <c r="S12" s="913">
        <f t="shared" si="4"/>
        <v>76</v>
      </c>
    </row>
    <row r="13" spans="1:72" x14ac:dyDescent="0.2">
      <c r="A13" s="11">
        <f t="shared" si="5"/>
        <v>11</v>
      </c>
      <c r="B13" s="11">
        <v>4.4766172967740001</v>
      </c>
      <c r="C13" s="11">
        <v>4.1230014055599999E-2</v>
      </c>
      <c r="D13" s="11"/>
      <c r="E13" s="11"/>
      <c r="F13" s="11"/>
      <c r="G13" s="11">
        <v>4.5178473108296</v>
      </c>
      <c r="H13" s="11"/>
      <c r="I13" s="914">
        <f>+SUM(B14:B$501)</f>
        <v>2408.6690861362404</v>
      </c>
      <c r="J13" s="914">
        <f>+SUM(C14:C$501)</f>
        <v>499.56446716000255</v>
      </c>
      <c r="K13" s="914">
        <f t="shared" si="0"/>
        <v>2908.2335532962429</v>
      </c>
      <c r="L13" s="914">
        <f>+SUM(D14:D$501)</f>
        <v>180.8723070255447</v>
      </c>
      <c r="M13" s="914">
        <f>+SUM(E14:E$501)</f>
        <v>9034.4154099040825</v>
      </c>
      <c r="N13" s="914">
        <f>+SUM(F14:F$501)</f>
        <v>25.555690517223301</v>
      </c>
      <c r="O13" s="914">
        <f>+SUM(G14:G$501)</f>
        <v>12149.076960743099</v>
      </c>
      <c r="P13" s="11">
        <f t="shared" si="1"/>
        <v>0.99543000964899997</v>
      </c>
      <c r="Q13" s="913">
        <f t="shared" si="2"/>
        <v>16</v>
      </c>
      <c r="R13" s="11">
        <f t="shared" si="3"/>
        <v>0.29138468123</v>
      </c>
      <c r="S13" s="913">
        <f t="shared" si="4"/>
        <v>75</v>
      </c>
    </row>
    <row r="14" spans="1:72" x14ac:dyDescent="0.2">
      <c r="A14" s="11">
        <f t="shared" si="5"/>
        <v>12</v>
      </c>
      <c r="B14" s="11">
        <v>4.2945361388701304</v>
      </c>
      <c r="C14" s="11">
        <v>0.59894273648890006</v>
      </c>
      <c r="D14" s="11"/>
      <c r="E14" s="11"/>
      <c r="F14" s="11"/>
      <c r="G14" s="11">
        <v>4.8934788753590306</v>
      </c>
      <c r="H14" s="11"/>
      <c r="I14" s="914">
        <f>+SUM(B15:B$501)</f>
        <v>2404.3745499973702</v>
      </c>
      <c r="J14" s="914">
        <f>+SUM(C15:C$501)</f>
        <v>498.96552442351367</v>
      </c>
      <c r="K14" s="914">
        <f t="shared" si="0"/>
        <v>2903.3400744208839</v>
      </c>
      <c r="L14" s="914">
        <f>+SUM(D15:D$501)</f>
        <v>180.8723070255447</v>
      </c>
      <c r="M14" s="914">
        <f>+SUM(E15:E$501)</f>
        <v>9034.4154099040825</v>
      </c>
      <c r="N14" s="914">
        <f>+SUM(F15:F$501)</f>
        <v>25.555690517223301</v>
      </c>
      <c r="O14" s="914">
        <f>+SUM(G15:G$501)</f>
        <v>12144.183481867742</v>
      </c>
      <c r="P14" s="11">
        <f t="shared" si="1"/>
        <v>0.99543000964899997</v>
      </c>
      <c r="Q14" s="913">
        <f t="shared" si="2"/>
        <v>15</v>
      </c>
      <c r="R14" s="11">
        <f t="shared" si="3"/>
        <v>0.29138468123</v>
      </c>
      <c r="S14" s="913">
        <f t="shared" si="4"/>
        <v>74</v>
      </c>
    </row>
    <row r="15" spans="1:72" x14ac:dyDescent="0.2">
      <c r="A15" s="11">
        <f t="shared" si="5"/>
        <v>13</v>
      </c>
      <c r="B15" s="11">
        <v>4.6858383743805803</v>
      </c>
      <c r="C15" s="11">
        <v>0.61113640747359999</v>
      </c>
      <c r="D15" s="11"/>
      <c r="E15" s="11"/>
      <c r="F15" s="11"/>
      <c r="G15" s="11">
        <v>5.2969747818541801</v>
      </c>
      <c r="H15" s="11"/>
      <c r="I15" s="914">
        <f>+SUM(B16:B$501)</f>
        <v>2399.68871162299</v>
      </c>
      <c r="J15" s="914">
        <f>+SUM(C16:C$501)</f>
        <v>498.35438801604005</v>
      </c>
      <c r="K15" s="914">
        <f t="shared" si="0"/>
        <v>2898.0430996390301</v>
      </c>
      <c r="L15" s="914">
        <f>+SUM(D16:D$501)</f>
        <v>180.8723070255447</v>
      </c>
      <c r="M15" s="914">
        <f>+SUM(E16:E$501)</f>
        <v>9034.4154099040825</v>
      </c>
      <c r="N15" s="914">
        <f>+SUM(F16:F$501)</f>
        <v>25.555690517223301</v>
      </c>
      <c r="O15" s="914">
        <f>+SUM(G16:G$501)</f>
        <v>12138.886507085888</v>
      </c>
      <c r="P15" s="11">
        <f t="shared" si="1"/>
        <v>0.99543000964899997</v>
      </c>
      <c r="Q15" s="913">
        <f t="shared" si="2"/>
        <v>14</v>
      </c>
      <c r="R15" s="11">
        <f t="shared" si="3"/>
        <v>0.29138468123</v>
      </c>
      <c r="S15" s="913">
        <f t="shared" si="4"/>
        <v>73</v>
      </c>
    </row>
    <row r="16" spans="1:72" x14ac:dyDescent="0.2">
      <c r="A16" s="11">
        <f t="shared" si="5"/>
        <v>14</v>
      </c>
      <c r="B16" s="11">
        <v>4.4772436053468994</v>
      </c>
      <c r="C16" s="11">
        <v>0.65927178794600005</v>
      </c>
      <c r="D16" s="11"/>
      <c r="E16" s="11"/>
      <c r="F16" s="11"/>
      <c r="G16" s="11">
        <v>5.1365153932928997</v>
      </c>
      <c r="H16" s="11"/>
      <c r="I16" s="914">
        <f>+SUM(B17:B$501)</f>
        <v>2395.2114680176428</v>
      </c>
      <c r="J16" s="914">
        <f>+SUM(C17:C$501)</f>
        <v>497.69511622809409</v>
      </c>
      <c r="K16" s="914">
        <f t="shared" si="0"/>
        <v>2892.9065842457367</v>
      </c>
      <c r="L16" s="914">
        <f>+SUM(D17:D$501)</f>
        <v>180.8723070255447</v>
      </c>
      <c r="M16" s="914">
        <f>+SUM(E17:E$501)</f>
        <v>9034.4154099040825</v>
      </c>
      <c r="N16" s="914">
        <f>+SUM(F17:F$501)</f>
        <v>25.555690517223301</v>
      </c>
      <c r="O16" s="914">
        <f>+SUM(G17:G$501)</f>
        <v>12133.749991692595</v>
      </c>
      <c r="P16" s="11">
        <f t="shared" si="1"/>
        <v>0.99543000964899997</v>
      </c>
      <c r="Q16" s="913">
        <f t="shared" si="2"/>
        <v>13</v>
      </c>
      <c r="R16" s="11">
        <f t="shared" si="3"/>
        <v>0.29138468123</v>
      </c>
      <c r="S16" s="913">
        <f t="shared" si="4"/>
        <v>72</v>
      </c>
    </row>
    <row r="17" spans="1:19" x14ac:dyDescent="0.2">
      <c r="A17" s="11">
        <f t="shared" si="5"/>
        <v>15</v>
      </c>
      <c r="B17" s="11">
        <v>4.1846184019530002</v>
      </c>
      <c r="C17" s="11">
        <v>0.60637589830899996</v>
      </c>
      <c r="D17" s="11"/>
      <c r="E17" s="11"/>
      <c r="F17" s="11"/>
      <c r="G17" s="11">
        <v>4.7909943002619997</v>
      </c>
      <c r="H17" s="11"/>
      <c r="I17" s="914">
        <f>+SUM(B18:B$501)</f>
        <v>2391.0268496156896</v>
      </c>
      <c r="J17" s="914">
        <f>+SUM(C18:C$501)</f>
        <v>497.08874032978508</v>
      </c>
      <c r="K17" s="914">
        <f t="shared" si="0"/>
        <v>2888.1155899454748</v>
      </c>
      <c r="L17" s="914">
        <f>+SUM(D18:D$501)</f>
        <v>180.8723070255447</v>
      </c>
      <c r="M17" s="914">
        <f>+SUM(E18:E$501)</f>
        <v>9034.4154099040825</v>
      </c>
      <c r="N17" s="914">
        <f>+SUM(F18:F$501)</f>
        <v>25.555690517223301</v>
      </c>
      <c r="O17" s="914">
        <f>+SUM(G18:G$501)</f>
        <v>12128.958997392332</v>
      </c>
      <c r="P17" s="11">
        <f t="shared" si="1"/>
        <v>0.99543000964899997</v>
      </c>
      <c r="Q17" s="913">
        <f t="shared" si="2"/>
        <v>12</v>
      </c>
      <c r="R17" s="11">
        <f t="shared" si="3"/>
        <v>0.29138468123</v>
      </c>
      <c r="S17" s="913">
        <f t="shared" si="4"/>
        <v>71</v>
      </c>
    </row>
    <row r="18" spans="1:19" x14ac:dyDescent="0.2">
      <c r="A18" s="11">
        <f t="shared" si="5"/>
        <v>16</v>
      </c>
      <c r="B18" s="11">
        <v>4.0312286588039994</v>
      </c>
      <c r="C18" s="11">
        <v>0.47288951430900006</v>
      </c>
      <c r="D18" s="11"/>
      <c r="E18" s="917"/>
      <c r="F18" s="11"/>
      <c r="G18" s="11">
        <v>4.5041181731129996</v>
      </c>
      <c r="H18" s="11"/>
      <c r="I18" s="914">
        <f>+SUM(B19:B$501)</f>
        <v>2386.9956209568854</v>
      </c>
      <c r="J18" s="914">
        <f>+SUM(C19:C$501)</f>
        <v>496.61585081547605</v>
      </c>
      <c r="K18" s="914">
        <f t="shared" si="0"/>
        <v>2883.6114717723613</v>
      </c>
      <c r="L18" s="914">
        <f>+SUM(D19:D$501)</f>
        <v>180.8723070255447</v>
      </c>
      <c r="M18" s="914">
        <f>+SUM(E19:E$501)</f>
        <v>9034.4154099040825</v>
      </c>
      <c r="N18" s="914">
        <f>+SUM(F19:F$501)</f>
        <v>25.555690517223301</v>
      </c>
      <c r="O18" s="914">
        <f>+SUM(G19:G$501)</f>
        <v>12124.454879219218</v>
      </c>
      <c r="P18" s="11">
        <f t="shared" si="1"/>
        <v>0.99543000964899997</v>
      </c>
      <c r="Q18" s="913">
        <f t="shared" si="2"/>
        <v>11</v>
      </c>
      <c r="R18" s="11">
        <f t="shared" si="3"/>
        <v>0.29138468123</v>
      </c>
      <c r="S18" s="913">
        <f t="shared" si="4"/>
        <v>70</v>
      </c>
    </row>
    <row r="19" spans="1:19" x14ac:dyDescent="0.2">
      <c r="A19" s="11">
        <f t="shared" si="5"/>
        <v>17</v>
      </c>
      <c r="B19" s="11">
        <v>4.2965608062770002</v>
      </c>
      <c r="C19" s="11">
        <v>4.3832158528099997E-2</v>
      </c>
      <c r="D19" s="11"/>
      <c r="E19" s="11"/>
      <c r="F19" s="11"/>
      <c r="G19" s="11">
        <v>4.3403929648051003</v>
      </c>
      <c r="H19" s="11"/>
      <c r="I19" s="914">
        <f>+SUM(B20:B$501)</f>
        <v>2382.6990601506086</v>
      </c>
      <c r="J19" s="914">
        <f>+SUM(C20:C$501)</f>
        <v>496.57201865694799</v>
      </c>
      <c r="K19" s="914">
        <f t="shared" si="0"/>
        <v>2879.2710788075565</v>
      </c>
      <c r="L19" s="914">
        <f>+SUM(D20:D$501)</f>
        <v>180.8723070255447</v>
      </c>
      <c r="M19" s="914">
        <f>+SUM(E20:E$501)</f>
        <v>9034.4154099040825</v>
      </c>
      <c r="N19" s="914">
        <f>+SUM(F20:F$501)</f>
        <v>25.555690517223301</v>
      </c>
      <c r="O19" s="914">
        <f>+SUM(G20:G$501)</f>
        <v>12120.114486254413</v>
      </c>
      <c r="P19" s="11">
        <f t="shared" si="1"/>
        <v>0.99543000964899997</v>
      </c>
      <c r="Q19" s="913">
        <f t="shared" si="2"/>
        <v>10</v>
      </c>
      <c r="R19" s="11">
        <f t="shared" si="3"/>
        <v>0.29138468123</v>
      </c>
      <c r="S19" s="913">
        <f t="shared" si="4"/>
        <v>69</v>
      </c>
    </row>
    <row r="20" spans="1:19" x14ac:dyDescent="0.2">
      <c r="A20" s="11">
        <f t="shared" si="5"/>
        <v>18</v>
      </c>
      <c r="B20" s="11">
        <v>4.5413576040995993</v>
      </c>
      <c r="C20" s="11"/>
      <c r="D20" s="11"/>
      <c r="E20" s="11"/>
      <c r="F20" s="11"/>
      <c r="G20" s="11">
        <v>4.5413576040995993</v>
      </c>
      <c r="H20" s="11"/>
      <c r="I20" s="914">
        <f>+SUM(B21:B$501)</f>
        <v>2378.1577025465085</v>
      </c>
      <c r="J20" s="914">
        <f>+SUM(C21:C$501)</f>
        <v>496.57201865694799</v>
      </c>
      <c r="K20" s="914">
        <f t="shared" si="0"/>
        <v>2874.7297212034564</v>
      </c>
      <c r="L20" s="914">
        <f>+SUM(D21:D$501)</f>
        <v>180.8723070255447</v>
      </c>
      <c r="M20" s="914">
        <f>+SUM(E21:E$501)</f>
        <v>9034.4154099040825</v>
      </c>
      <c r="N20" s="914">
        <f>+SUM(F21:F$501)</f>
        <v>25.555690517223301</v>
      </c>
      <c r="O20" s="914">
        <f>+SUM(G21:G$501)</f>
        <v>12115.573128650314</v>
      </c>
      <c r="P20" s="11">
        <f t="shared" si="1"/>
        <v>0.99543000964899997</v>
      </c>
      <c r="Q20" s="913">
        <f t="shared" si="2"/>
        <v>9</v>
      </c>
      <c r="R20" s="11">
        <f t="shared" si="3"/>
        <v>0.29138468123</v>
      </c>
      <c r="S20" s="913">
        <f t="shared" si="4"/>
        <v>68</v>
      </c>
    </row>
    <row r="21" spans="1:19" x14ac:dyDescent="0.2">
      <c r="A21" s="11">
        <f t="shared" si="5"/>
        <v>19</v>
      </c>
      <c r="B21" s="11">
        <v>4.3253388986559997</v>
      </c>
      <c r="C21" s="11"/>
      <c r="D21" s="11"/>
      <c r="E21" s="11"/>
      <c r="F21" s="11"/>
      <c r="G21" s="11">
        <v>4.3253388986559997</v>
      </c>
      <c r="H21" s="11"/>
      <c r="I21" s="914">
        <f>+SUM(B22:B$501)</f>
        <v>2373.8323636478526</v>
      </c>
      <c r="J21" s="914">
        <f>+SUM(C22:C$501)</f>
        <v>496.57201865694799</v>
      </c>
      <c r="K21" s="914">
        <f t="shared" si="0"/>
        <v>2870.4043823048005</v>
      </c>
      <c r="L21" s="914">
        <f>+SUM(D22:D$501)</f>
        <v>180.8723070255447</v>
      </c>
      <c r="M21" s="914">
        <f>+SUM(E22:E$501)</f>
        <v>9034.4154099040825</v>
      </c>
      <c r="N21" s="914">
        <f>+SUM(F22:F$501)</f>
        <v>25.555690517223301</v>
      </c>
      <c r="O21" s="914">
        <f>+SUM(G22:G$501)</f>
        <v>12111.247789751658</v>
      </c>
      <c r="P21" s="11">
        <f t="shared" si="1"/>
        <v>0.99543000964899997</v>
      </c>
      <c r="Q21" s="913">
        <f t="shared" si="2"/>
        <v>8</v>
      </c>
      <c r="R21" s="11">
        <f t="shared" si="3"/>
        <v>0.29138468123</v>
      </c>
      <c r="S21" s="913">
        <f t="shared" si="4"/>
        <v>67</v>
      </c>
    </row>
    <row r="22" spans="1:19" x14ac:dyDescent="0.2">
      <c r="A22" s="11">
        <f t="shared" si="5"/>
        <v>20</v>
      </c>
      <c r="B22" s="11">
        <v>3.9711354684516</v>
      </c>
      <c r="C22" s="11"/>
      <c r="D22" s="11"/>
      <c r="E22" s="11"/>
      <c r="F22" s="11"/>
      <c r="G22" s="11">
        <v>3.9711354684516</v>
      </c>
      <c r="H22" s="11"/>
      <c r="I22" s="914">
        <f>+SUM(B23:B$501)</f>
        <v>2369.8612281794012</v>
      </c>
      <c r="J22" s="914">
        <f>+SUM(C23:C$501)</f>
        <v>496.57201865694799</v>
      </c>
      <c r="K22" s="914">
        <f t="shared" si="0"/>
        <v>2866.4332468363491</v>
      </c>
      <c r="L22" s="914">
        <f>+SUM(D23:D$501)</f>
        <v>180.8723070255447</v>
      </c>
      <c r="M22" s="914">
        <f>+SUM(E23:E$501)</f>
        <v>9034.4154099040825</v>
      </c>
      <c r="N22" s="914">
        <f>+SUM(F23:F$501)</f>
        <v>25.555690517223301</v>
      </c>
      <c r="O22" s="914">
        <f>+SUM(G23:G$501)</f>
        <v>12107.276654283207</v>
      </c>
      <c r="P22" s="11">
        <f t="shared" si="1"/>
        <v>0.99543000964899997</v>
      </c>
      <c r="Q22" s="913">
        <f t="shared" si="2"/>
        <v>7</v>
      </c>
      <c r="R22" s="11">
        <f t="shared" si="3"/>
        <v>0.29138468123</v>
      </c>
      <c r="S22" s="913">
        <f t="shared" si="4"/>
        <v>66</v>
      </c>
    </row>
    <row r="23" spans="1:19" x14ac:dyDescent="0.2">
      <c r="A23" s="11">
        <f t="shared" si="5"/>
        <v>21</v>
      </c>
      <c r="B23" s="11">
        <v>3.73502362267</v>
      </c>
      <c r="C23" s="11"/>
      <c r="D23" s="11"/>
      <c r="E23" s="11"/>
      <c r="F23" s="11"/>
      <c r="G23" s="11">
        <v>3.73502362267</v>
      </c>
      <c r="H23" s="11"/>
      <c r="I23" s="914">
        <f>+SUM(B24:B$501)</f>
        <v>2366.1262045567319</v>
      </c>
      <c r="J23" s="914">
        <f>+SUM(C24:C$501)</f>
        <v>496.57201865694799</v>
      </c>
      <c r="K23" s="914">
        <f t="shared" si="0"/>
        <v>2862.6982232136797</v>
      </c>
      <c r="L23" s="914">
        <f>+SUM(D24:D$501)</f>
        <v>180.8723070255447</v>
      </c>
      <c r="M23" s="914">
        <f>+SUM(E24:E$501)</f>
        <v>9034.4154099040825</v>
      </c>
      <c r="N23" s="914">
        <f>+SUM(F24:F$501)</f>
        <v>25.555690517223301</v>
      </c>
      <c r="O23" s="914">
        <f>+SUM(G24:G$501)</f>
        <v>12103.541630660537</v>
      </c>
      <c r="P23" s="11">
        <f t="shared" si="1"/>
        <v>0.99543000964899997</v>
      </c>
      <c r="Q23" s="913">
        <f t="shared" si="2"/>
        <v>6</v>
      </c>
      <c r="R23" s="11">
        <f t="shared" si="3"/>
        <v>0.29138468123</v>
      </c>
      <c r="S23" s="913">
        <f t="shared" si="4"/>
        <v>65</v>
      </c>
    </row>
    <row r="24" spans="1:19" x14ac:dyDescent="0.2">
      <c r="A24" s="11">
        <f t="shared" si="5"/>
        <v>22</v>
      </c>
      <c r="B24" s="11">
        <v>3.5711581936598398</v>
      </c>
      <c r="C24" s="11"/>
      <c r="D24" s="11"/>
      <c r="E24" s="11"/>
      <c r="F24" s="11"/>
      <c r="G24" s="11">
        <v>3.5711581936598398</v>
      </c>
      <c r="H24" s="11"/>
      <c r="I24" s="914">
        <f>+SUM(B25:B$501)</f>
        <v>2362.5550463630716</v>
      </c>
      <c r="J24" s="914">
        <f>+SUM(C25:C$501)</f>
        <v>496.57201865694799</v>
      </c>
      <c r="K24" s="914">
        <f t="shared" si="0"/>
        <v>2859.1270650200195</v>
      </c>
      <c r="L24" s="914">
        <f>+SUM(D25:D$501)</f>
        <v>180.8723070255447</v>
      </c>
      <c r="M24" s="914">
        <f>+SUM(E25:E$501)</f>
        <v>9034.4154099040825</v>
      </c>
      <c r="N24" s="914">
        <f>+SUM(F25:F$501)</f>
        <v>25.555690517223301</v>
      </c>
      <c r="O24" s="914">
        <f>+SUM(G25:G$501)</f>
        <v>12099.970472466877</v>
      </c>
      <c r="P24" s="11">
        <f t="shared" si="1"/>
        <v>0.99543000964899997</v>
      </c>
      <c r="Q24" s="913">
        <f t="shared" si="2"/>
        <v>5</v>
      </c>
      <c r="R24" s="11">
        <f t="shared" si="3"/>
        <v>0.29138468123</v>
      </c>
      <c r="S24" s="913">
        <f t="shared" si="4"/>
        <v>64</v>
      </c>
    </row>
    <row r="25" spans="1:19" x14ac:dyDescent="0.2">
      <c r="A25" s="11">
        <f t="shared" si="5"/>
        <v>23</v>
      </c>
      <c r="B25" s="11">
        <v>3.280750693216</v>
      </c>
      <c r="C25" s="11"/>
      <c r="D25" s="11"/>
      <c r="E25" s="11"/>
      <c r="F25" s="11"/>
      <c r="G25" s="11">
        <v>3.280750693216</v>
      </c>
      <c r="H25" s="11"/>
      <c r="I25" s="914">
        <f>+SUM(B26:B$501)</f>
        <v>2359.2742956698557</v>
      </c>
      <c r="J25" s="914">
        <f>+SUM(C26:C$501)</f>
        <v>496.57201865694799</v>
      </c>
      <c r="K25" s="914">
        <f t="shared" si="0"/>
        <v>2855.8463143268036</v>
      </c>
      <c r="L25" s="914">
        <f>+SUM(D26:D$501)</f>
        <v>180.8723070255447</v>
      </c>
      <c r="M25" s="914">
        <f>+SUM(E26:E$501)</f>
        <v>9034.4154099040825</v>
      </c>
      <c r="N25" s="914">
        <f>+SUM(F26:F$501)</f>
        <v>25.555690517223301</v>
      </c>
      <c r="O25" s="914">
        <f>+SUM(G26:G$501)</f>
        <v>12096.689721773662</v>
      </c>
      <c r="P25" s="11">
        <f t="shared" si="1"/>
        <v>0.99543000964899997</v>
      </c>
      <c r="Q25" s="913">
        <f t="shared" si="2"/>
        <v>4</v>
      </c>
      <c r="R25" s="11">
        <f t="shared" si="3"/>
        <v>0.29138468123</v>
      </c>
      <c r="S25" s="913">
        <f t="shared" si="4"/>
        <v>63</v>
      </c>
    </row>
    <row r="26" spans="1:19" x14ac:dyDescent="0.2">
      <c r="A26" s="11">
        <f t="shared" si="5"/>
        <v>24</v>
      </c>
      <c r="B26" s="11">
        <v>2.970203612013</v>
      </c>
      <c r="C26" s="11"/>
      <c r="D26" s="11"/>
      <c r="E26" s="11"/>
      <c r="F26" s="11"/>
      <c r="G26" s="11">
        <v>2.970203612013</v>
      </c>
      <c r="H26" s="11"/>
      <c r="I26" s="914">
        <f>+SUM(B27:B$501)</f>
        <v>2356.3040920578424</v>
      </c>
      <c r="J26" s="914">
        <f>+SUM(C27:C$501)</f>
        <v>496.57201865694799</v>
      </c>
      <c r="K26" s="914">
        <f t="shared" si="0"/>
        <v>2852.8761107147902</v>
      </c>
      <c r="L26" s="914">
        <f>+SUM(D27:D$501)</f>
        <v>180.8723070255447</v>
      </c>
      <c r="M26" s="914">
        <f>+SUM(E27:E$501)</f>
        <v>9034.4154099040825</v>
      </c>
      <c r="N26" s="914">
        <f>+SUM(F27:F$501)</f>
        <v>25.555690517223301</v>
      </c>
      <c r="O26" s="914">
        <f>+SUM(G27:G$501)</f>
        <v>12093.719518161648</v>
      </c>
      <c r="P26" s="11">
        <f t="shared" si="1"/>
        <v>0.99543000964899997</v>
      </c>
      <c r="Q26" s="913">
        <f t="shared" si="2"/>
        <v>3</v>
      </c>
      <c r="R26" s="11">
        <f t="shared" si="3"/>
        <v>0.29138468123</v>
      </c>
      <c r="S26" s="913">
        <f t="shared" si="4"/>
        <v>62</v>
      </c>
    </row>
    <row r="27" spans="1:19" x14ac:dyDescent="0.2">
      <c r="A27" s="11">
        <f t="shared" si="5"/>
        <v>25</v>
      </c>
      <c r="B27" s="11">
        <v>3.0261595373600003</v>
      </c>
      <c r="C27" s="11"/>
      <c r="D27" s="11"/>
      <c r="E27" s="11"/>
      <c r="F27" s="11"/>
      <c r="G27" s="11">
        <v>3.0261595373600003</v>
      </c>
      <c r="H27" s="11"/>
      <c r="I27" s="914">
        <f>+SUM(B28:B$501)</f>
        <v>2353.2779325204829</v>
      </c>
      <c r="J27" s="914">
        <f>+SUM(C28:C$501)</f>
        <v>496.57201865694799</v>
      </c>
      <c r="K27" s="914">
        <f t="shared" si="0"/>
        <v>2849.8499511774307</v>
      </c>
      <c r="L27" s="914">
        <f>+SUM(D28:D$501)</f>
        <v>180.8723070255447</v>
      </c>
      <c r="M27" s="914">
        <f>+SUM(E28:E$501)</f>
        <v>9034.4154099040825</v>
      </c>
      <c r="N27" s="914">
        <f>+SUM(F28:F$501)</f>
        <v>25.555690517223301</v>
      </c>
      <c r="O27" s="914">
        <f>+SUM(G28:G$501)</f>
        <v>12090.693358624289</v>
      </c>
      <c r="P27" s="11">
        <f t="shared" si="1"/>
        <v>0.99543000964899997</v>
      </c>
      <c r="Q27" s="913">
        <f t="shared" si="2"/>
        <v>2</v>
      </c>
      <c r="R27" s="11">
        <f t="shared" si="3"/>
        <v>0.29138468123</v>
      </c>
      <c r="S27" s="913">
        <f t="shared" si="4"/>
        <v>61</v>
      </c>
    </row>
    <row r="28" spans="1:19" x14ac:dyDescent="0.2">
      <c r="A28" s="11">
        <f t="shared" si="5"/>
        <v>26</v>
      </c>
      <c r="B28" s="11">
        <v>3.3031795047400001</v>
      </c>
      <c r="C28" s="11"/>
      <c r="D28" s="11"/>
      <c r="E28" s="11"/>
      <c r="F28" s="11"/>
      <c r="G28" s="11">
        <v>3.3031795047400001</v>
      </c>
      <c r="H28" s="11"/>
      <c r="I28" s="914">
        <f>+SUM(B29:B$501)</f>
        <v>2349.974753015742</v>
      </c>
      <c r="J28" s="914">
        <f>+SUM(C29:C$501)</f>
        <v>496.57201865694799</v>
      </c>
      <c r="K28" s="914">
        <f t="shared" si="0"/>
        <v>2846.5467716726898</v>
      </c>
      <c r="L28" s="914">
        <f>+SUM(D29:D$501)</f>
        <v>180.8723070255447</v>
      </c>
      <c r="M28" s="914">
        <f>+SUM(E29:E$501)</f>
        <v>9034.4154099040825</v>
      </c>
      <c r="N28" s="914">
        <f>+SUM(F29:F$501)</f>
        <v>25.555690517223301</v>
      </c>
      <c r="O28" s="914">
        <f>+SUM(G29:G$501)</f>
        <v>12087.390179119546</v>
      </c>
      <c r="P28" s="11">
        <f t="shared" si="1"/>
        <v>0.99543000964899997</v>
      </c>
      <c r="Q28" s="913">
        <f t="shared" si="2"/>
        <v>1</v>
      </c>
      <c r="R28" s="11">
        <f t="shared" si="3"/>
        <v>0.29138468123</v>
      </c>
      <c r="S28" s="913">
        <f t="shared" si="4"/>
        <v>60</v>
      </c>
    </row>
    <row r="29" spans="1:19" x14ac:dyDescent="0.2">
      <c r="A29" s="11">
        <f t="shared" si="5"/>
        <v>27</v>
      </c>
      <c r="B29" s="11">
        <v>2.5028709063460002</v>
      </c>
      <c r="C29" s="11"/>
      <c r="D29" s="11"/>
      <c r="E29" s="11">
        <v>0.99543000964899997</v>
      </c>
      <c r="F29" s="11"/>
      <c r="G29" s="11">
        <v>3.4983009159950003</v>
      </c>
      <c r="H29" s="11"/>
      <c r="I29" s="914">
        <f>+SUM(B30:B$501)</f>
        <v>2347.4718821093966</v>
      </c>
      <c r="J29" s="914">
        <f>+SUM(C30:C$501)</f>
        <v>496.57201865694799</v>
      </c>
      <c r="K29" s="914">
        <f t="shared" si="0"/>
        <v>2844.0439007663444</v>
      </c>
      <c r="L29" s="914">
        <f>+SUM(D30:D$501)</f>
        <v>180.8723070255447</v>
      </c>
      <c r="M29" s="914">
        <f>+SUM(E30:E$501)</f>
        <v>9033.4199798944337</v>
      </c>
      <c r="N29" s="914">
        <f>+SUM(F30:F$501)</f>
        <v>25.555690517223301</v>
      </c>
      <c r="O29" s="914">
        <f>+SUM(G30:G$501)</f>
        <v>12083.891878203551</v>
      </c>
      <c r="P29" s="11">
        <f t="shared" si="1"/>
        <v>0.99543000964899997</v>
      </c>
      <c r="Q29" s="913">
        <f t="shared" si="2"/>
        <v>0</v>
      </c>
      <c r="R29" s="11">
        <f t="shared" si="3"/>
        <v>0.29138468123</v>
      </c>
      <c r="S29" s="913">
        <f t="shared" si="4"/>
        <v>59</v>
      </c>
    </row>
    <row r="30" spans="1:19" x14ac:dyDescent="0.2">
      <c r="A30" s="11">
        <f t="shared" si="5"/>
        <v>28</v>
      </c>
      <c r="B30" s="11">
        <v>1.5943226344010002</v>
      </c>
      <c r="C30" s="11"/>
      <c r="D30" s="11"/>
      <c r="E30" s="11">
        <v>2.1287036265600001</v>
      </c>
      <c r="F30" s="11"/>
      <c r="G30" s="11">
        <v>3.7230262609610003</v>
      </c>
      <c r="H30" s="11"/>
      <c r="I30" s="914">
        <f>+SUM(B31:B$501)</f>
        <v>2345.877559474995</v>
      </c>
      <c r="J30" s="914">
        <f>+SUM(C31:C$501)</f>
        <v>496.57201865694799</v>
      </c>
      <c r="K30" s="914">
        <f t="shared" si="0"/>
        <v>2842.4495781319429</v>
      </c>
      <c r="L30" s="914">
        <f>+SUM(D31:D$501)</f>
        <v>180.8723070255447</v>
      </c>
      <c r="M30" s="914">
        <f>+SUM(E31:E$501)</f>
        <v>9031.2912762678734</v>
      </c>
      <c r="N30" s="914">
        <f>+SUM(F31:F$501)</f>
        <v>25.555690517223301</v>
      </c>
      <c r="O30" s="914">
        <f>+SUM(G31:G$501)</f>
        <v>12080.168851942592</v>
      </c>
      <c r="P30" s="11">
        <f t="shared" si="1"/>
        <v>2.1287036265600001</v>
      </c>
      <c r="Q30" s="913">
        <f t="shared" si="2"/>
        <v>0</v>
      </c>
      <c r="R30" s="11">
        <f t="shared" si="3"/>
        <v>0.29138468123</v>
      </c>
      <c r="S30" s="913">
        <f t="shared" si="4"/>
        <v>58</v>
      </c>
    </row>
    <row r="31" spans="1:19" x14ac:dyDescent="0.2">
      <c r="A31" s="11">
        <f t="shared" si="5"/>
        <v>29</v>
      </c>
      <c r="B31" s="11">
        <v>2.0316867973599999</v>
      </c>
      <c r="C31" s="11"/>
      <c r="D31" s="11"/>
      <c r="E31" s="11">
        <v>2.9900527823399998</v>
      </c>
      <c r="F31" s="11"/>
      <c r="G31" s="11">
        <v>5.0217395797000002</v>
      </c>
      <c r="H31" s="11"/>
      <c r="I31" s="914">
        <f>+SUM(B32:B$501)</f>
        <v>2343.8458726776353</v>
      </c>
      <c r="J31" s="914">
        <f>+SUM(C32:C$501)</f>
        <v>496.57201865694799</v>
      </c>
      <c r="K31" s="914">
        <f t="shared" si="0"/>
        <v>2840.4178913345831</v>
      </c>
      <c r="L31" s="914">
        <f>+SUM(D32:D$501)</f>
        <v>180.8723070255447</v>
      </c>
      <c r="M31" s="914">
        <f>+SUM(E32:E$501)</f>
        <v>9028.3012234855323</v>
      </c>
      <c r="N31" s="914">
        <f>+SUM(F32:F$501)</f>
        <v>25.555690517223301</v>
      </c>
      <c r="O31" s="914">
        <f>+SUM(G32:G$501)</f>
        <v>12075.147112362891</v>
      </c>
      <c r="P31" s="11">
        <f t="shared" si="1"/>
        <v>2.9900527823399998</v>
      </c>
      <c r="Q31" s="913">
        <f t="shared" si="2"/>
        <v>0</v>
      </c>
      <c r="R31" s="11">
        <f t="shared" si="3"/>
        <v>0.29138468123</v>
      </c>
      <c r="S31" s="913">
        <f t="shared" si="4"/>
        <v>57</v>
      </c>
    </row>
    <row r="32" spans="1:19" x14ac:dyDescent="0.2">
      <c r="A32" s="11">
        <f t="shared" si="5"/>
        <v>30</v>
      </c>
      <c r="B32" s="11">
        <v>2.9969216993900001</v>
      </c>
      <c r="C32" s="11"/>
      <c r="D32" s="11"/>
      <c r="E32" s="11">
        <v>3.0552175678400002</v>
      </c>
      <c r="F32" s="11"/>
      <c r="G32" s="11">
        <v>6.0521392672300003</v>
      </c>
      <c r="H32" s="11"/>
      <c r="I32" s="914">
        <f>+SUM(B33:B$501)</f>
        <v>2340.8489509782457</v>
      </c>
      <c r="J32" s="914">
        <f>+SUM(C33:C$501)</f>
        <v>496.57201865694799</v>
      </c>
      <c r="K32" s="914">
        <f t="shared" si="0"/>
        <v>2837.4209696351936</v>
      </c>
      <c r="L32" s="914">
        <f>+SUM(D33:D$501)</f>
        <v>180.8723070255447</v>
      </c>
      <c r="M32" s="914">
        <f>+SUM(E33:E$501)</f>
        <v>9025.2460059176919</v>
      </c>
      <c r="N32" s="914">
        <f>+SUM(F33:F$501)</f>
        <v>25.555690517223301</v>
      </c>
      <c r="O32" s="914">
        <f>+SUM(G33:G$501)</f>
        <v>12069.09497309566</v>
      </c>
      <c r="P32" s="11">
        <f t="shared" si="1"/>
        <v>3.0552175678400002</v>
      </c>
      <c r="Q32" s="913">
        <f t="shared" si="2"/>
        <v>0</v>
      </c>
      <c r="R32" s="11">
        <f t="shared" si="3"/>
        <v>0.29138468123</v>
      </c>
      <c r="S32" s="913">
        <f t="shared" si="4"/>
        <v>56</v>
      </c>
    </row>
    <row r="33" spans="1:19" x14ac:dyDescent="0.2">
      <c r="A33" s="11">
        <f t="shared" si="5"/>
        <v>31</v>
      </c>
      <c r="B33" s="11">
        <v>4.444463816032</v>
      </c>
      <c r="C33" s="11"/>
      <c r="D33" s="11"/>
      <c r="E33" s="11">
        <v>2.0918420343899999</v>
      </c>
      <c r="F33" s="11"/>
      <c r="G33" s="11">
        <v>6.536305850422</v>
      </c>
      <c r="H33" s="11"/>
      <c r="I33" s="914">
        <f>+SUM(B34:B$501)</f>
        <v>2336.4044871622136</v>
      </c>
      <c r="J33" s="914">
        <f>+SUM(C34:C$501)</f>
        <v>496.57201865694799</v>
      </c>
      <c r="K33" s="914">
        <f t="shared" si="0"/>
        <v>2832.9765058191615</v>
      </c>
      <c r="L33" s="914">
        <f>+SUM(D34:D$501)</f>
        <v>180.8723070255447</v>
      </c>
      <c r="M33" s="914">
        <f>+SUM(E34:E$501)</f>
        <v>9023.1541638833023</v>
      </c>
      <c r="N33" s="914">
        <f>+SUM(F34:F$501)</f>
        <v>25.555690517223301</v>
      </c>
      <c r="O33" s="914">
        <f>+SUM(G34:G$501)</f>
        <v>12062.558667245237</v>
      </c>
      <c r="P33" s="11">
        <f t="shared" si="1"/>
        <v>2.0918420343899999</v>
      </c>
      <c r="Q33" s="913">
        <f t="shared" si="2"/>
        <v>0</v>
      </c>
      <c r="R33" s="11">
        <f t="shared" si="3"/>
        <v>0.29138468123</v>
      </c>
      <c r="S33" s="913">
        <f t="shared" si="4"/>
        <v>55</v>
      </c>
    </row>
    <row r="34" spans="1:19" x14ac:dyDescent="0.2">
      <c r="A34" s="11">
        <f t="shared" si="5"/>
        <v>32</v>
      </c>
      <c r="B34" s="11">
        <v>5.9606880495980006</v>
      </c>
      <c r="C34" s="11"/>
      <c r="D34" s="11"/>
      <c r="E34" s="11">
        <v>2.0632115466299998</v>
      </c>
      <c r="F34" s="11"/>
      <c r="G34" s="11">
        <v>8.0238995962280004</v>
      </c>
      <c r="H34" s="11"/>
      <c r="I34" s="914">
        <f>+SUM(B35:B$501)</f>
        <v>2330.4437991126151</v>
      </c>
      <c r="J34" s="914">
        <f>+SUM(C35:C$501)</f>
        <v>496.57201865694799</v>
      </c>
      <c r="K34" s="914">
        <f t="shared" si="0"/>
        <v>2827.015817769563</v>
      </c>
      <c r="L34" s="914">
        <f>+SUM(D35:D$501)</f>
        <v>180.8723070255447</v>
      </c>
      <c r="M34" s="914">
        <f>+SUM(E35:E$501)</f>
        <v>9021.0909523366736</v>
      </c>
      <c r="N34" s="914">
        <f>+SUM(F35:F$501)</f>
        <v>25.555690517223301</v>
      </c>
      <c r="O34" s="914">
        <f>+SUM(G35:G$501)</f>
        <v>12054.534767649009</v>
      </c>
      <c r="P34" s="11">
        <f t="shared" si="1"/>
        <v>2.0632115466299998</v>
      </c>
      <c r="Q34" s="913">
        <f t="shared" si="2"/>
        <v>0</v>
      </c>
      <c r="R34" s="11">
        <f t="shared" si="3"/>
        <v>0.29138468123</v>
      </c>
      <c r="S34" s="913">
        <f t="shared" si="4"/>
        <v>54</v>
      </c>
    </row>
    <row r="35" spans="1:19" x14ac:dyDescent="0.2">
      <c r="A35" s="11">
        <f t="shared" si="5"/>
        <v>33</v>
      </c>
      <c r="B35" s="11">
        <v>9.8649955458704603</v>
      </c>
      <c r="C35" s="11"/>
      <c r="D35" s="11"/>
      <c r="E35" s="11"/>
      <c r="F35" s="11"/>
      <c r="G35" s="11">
        <v>9.8649955458704603</v>
      </c>
      <c r="H35" s="11"/>
      <c r="I35" s="914">
        <f>+SUM(B36:B$501)</f>
        <v>2320.5788035667447</v>
      </c>
      <c r="J35" s="914">
        <f>+SUM(C36:C$501)</f>
        <v>496.57201865694799</v>
      </c>
      <c r="K35" s="914">
        <f t="shared" si="0"/>
        <v>2817.1508222236926</v>
      </c>
      <c r="L35" s="914">
        <f>+SUM(D36:D$501)</f>
        <v>180.8723070255447</v>
      </c>
      <c r="M35" s="914">
        <f>+SUM(E36:E$501)</f>
        <v>9021.0909523366736</v>
      </c>
      <c r="N35" s="914">
        <f>+SUM(F36:F$501)</f>
        <v>25.555690517223301</v>
      </c>
      <c r="O35" s="914">
        <f>+SUM(G36:G$501)</f>
        <v>12044.669772103138</v>
      </c>
      <c r="P35" s="11">
        <f t="shared" si="1"/>
        <v>0.73708344481799992</v>
      </c>
      <c r="Q35" s="913">
        <f t="shared" si="2"/>
        <v>8</v>
      </c>
      <c r="R35" s="11">
        <f t="shared" si="3"/>
        <v>0.29138468123</v>
      </c>
      <c r="S35" s="913">
        <f t="shared" si="4"/>
        <v>53</v>
      </c>
    </row>
    <row r="36" spans="1:19" x14ac:dyDescent="0.2">
      <c r="A36" s="11">
        <f t="shared" si="5"/>
        <v>34</v>
      </c>
      <c r="B36" s="11">
        <v>10.327555912544</v>
      </c>
      <c r="C36" s="11"/>
      <c r="D36" s="11"/>
      <c r="E36" s="11"/>
      <c r="F36" s="11"/>
      <c r="G36" s="11">
        <v>10.327555912544</v>
      </c>
      <c r="H36" s="11"/>
      <c r="I36" s="914">
        <f>+SUM(B37:B$501)</f>
        <v>2310.2512476542015</v>
      </c>
      <c r="J36" s="914">
        <f>+SUM(C37:C$501)</f>
        <v>496.57201865694799</v>
      </c>
      <c r="K36" s="914">
        <f t="shared" si="0"/>
        <v>2806.8232663111494</v>
      </c>
      <c r="L36" s="914">
        <f>+SUM(D37:D$501)</f>
        <v>180.8723070255447</v>
      </c>
      <c r="M36" s="914">
        <f>+SUM(E37:E$501)</f>
        <v>9021.0909523366736</v>
      </c>
      <c r="N36" s="914">
        <f>+SUM(F37:F$501)</f>
        <v>25.555690517223301</v>
      </c>
      <c r="O36" s="914">
        <f>+SUM(G37:G$501)</f>
        <v>12034.342216190595</v>
      </c>
      <c r="P36" s="11">
        <f t="shared" si="1"/>
        <v>0.73708344481799992</v>
      </c>
      <c r="Q36" s="913">
        <f t="shared" si="2"/>
        <v>7</v>
      </c>
      <c r="R36" s="11">
        <f t="shared" si="3"/>
        <v>0.29138468123</v>
      </c>
      <c r="S36" s="913">
        <f t="shared" si="4"/>
        <v>52</v>
      </c>
    </row>
    <row r="37" spans="1:19" x14ac:dyDescent="0.2">
      <c r="A37" s="11">
        <f t="shared" si="5"/>
        <v>35</v>
      </c>
      <c r="B37" s="11">
        <v>10.225248171077405</v>
      </c>
      <c r="C37" s="11"/>
      <c r="D37" s="11"/>
      <c r="E37" s="11"/>
      <c r="F37" s="11"/>
      <c r="G37" s="11">
        <v>10.225248171077405</v>
      </c>
      <c r="H37" s="11"/>
      <c r="I37" s="914">
        <f>+SUM(B38:B$501)</f>
        <v>2300.025999483124</v>
      </c>
      <c r="J37" s="914">
        <f>+SUM(C38:C$501)</f>
        <v>496.57201865694799</v>
      </c>
      <c r="K37" s="914">
        <f t="shared" si="0"/>
        <v>2796.5980181400719</v>
      </c>
      <c r="L37" s="914">
        <f>+SUM(D38:D$501)</f>
        <v>180.8723070255447</v>
      </c>
      <c r="M37" s="914">
        <f>+SUM(E38:E$501)</f>
        <v>9021.0909523366736</v>
      </c>
      <c r="N37" s="914">
        <f>+SUM(F38:F$501)</f>
        <v>25.555690517223301</v>
      </c>
      <c r="O37" s="914">
        <f>+SUM(G38:G$501)</f>
        <v>12024.11696801952</v>
      </c>
      <c r="P37" s="11">
        <f t="shared" si="1"/>
        <v>0.73708344481799992</v>
      </c>
      <c r="Q37" s="913">
        <f t="shared" si="2"/>
        <v>6</v>
      </c>
      <c r="R37" s="11">
        <f t="shared" si="3"/>
        <v>0.29138468123</v>
      </c>
      <c r="S37" s="913">
        <f t="shared" si="4"/>
        <v>51</v>
      </c>
    </row>
    <row r="38" spans="1:19" x14ac:dyDescent="0.2">
      <c r="A38" s="11">
        <f t="shared" si="5"/>
        <v>36</v>
      </c>
      <c r="B38" s="11">
        <v>8.905248147927626</v>
      </c>
      <c r="C38" s="11"/>
      <c r="D38" s="11"/>
      <c r="E38" s="11"/>
      <c r="F38" s="11"/>
      <c r="G38" s="11">
        <v>8.905248147927626</v>
      </c>
      <c r="H38" s="11"/>
      <c r="I38" s="914">
        <f>+SUM(B39:B$501)</f>
        <v>2291.1207513351974</v>
      </c>
      <c r="J38" s="914">
        <f>+SUM(C39:C$501)</f>
        <v>496.57201865694799</v>
      </c>
      <c r="K38" s="914">
        <f t="shared" si="0"/>
        <v>2787.6927699921453</v>
      </c>
      <c r="L38" s="914">
        <f>+SUM(D39:D$501)</f>
        <v>180.8723070255447</v>
      </c>
      <c r="M38" s="914">
        <f>+SUM(E39:E$501)</f>
        <v>9021.0909523366736</v>
      </c>
      <c r="N38" s="914">
        <f>+SUM(F39:F$501)</f>
        <v>25.555690517223301</v>
      </c>
      <c r="O38" s="914">
        <f>+SUM(G39:G$501)</f>
        <v>12015.21171987159</v>
      </c>
      <c r="P38" s="11">
        <f t="shared" si="1"/>
        <v>0.73708344481799992</v>
      </c>
      <c r="Q38" s="913">
        <f t="shared" si="2"/>
        <v>5</v>
      </c>
      <c r="R38" s="11">
        <f t="shared" si="3"/>
        <v>0.29138468123</v>
      </c>
      <c r="S38" s="913">
        <f t="shared" si="4"/>
        <v>50</v>
      </c>
    </row>
    <row r="39" spans="1:19" x14ac:dyDescent="0.2">
      <c r="A39" s="11">
        <f t="shared" si="5"/>
        <v>37</v>
      </c>
      <c r="B39" s="11">
        <v>8.2241537561060891</v>
      </c>
      <c r="C39" s="11"/>
      <c r="D39" s="11"/>
      <c r="E39" s="11"/>
      <c r="F39" s="11"/>
      <c r="G39" s="11">
        <v>8.2241537561060891</v>
      </c>
      <c r="H39" s="11"/>
      <c r="I39" s="914">
        <f>+SUM(B40:B$501)</f>
        <v>2282.8965975790907</v>
      </c>
      <c r="J39" s="914">
        <f>+SUM(C40:C$501)</f>
        <v>496.57201865694799</v>
      </c>
      <c r="K39" s="914">
        <f t="shared" si="0"/>
        <v>2779.4686162360385</v>
      </c>
      <c r="L39" s="914">
        <f>+SUM(D40:D$501)</f>
        <v>180.8723070255447</v>
      </c>
      <c r="M39" s="914">
        <f>+SUM(E40:E$501)</f>
        <v>9021.0909523366736</v>
      </c>
      <c r="N39" s="914">
        <f>+SUM(F40:F$501)</f>
        <v>25.555690517223301</v>
      </c>
      <c r="O39" s="914">
        <f>+SUM(G40:G$501)</f>
        <v>12006.987566115484</v>
      </c>
      <c r="P39" s="11">
        <f t="shared" si="1"/>
        <v>0.73708344481799992</v>
      </c>
      <c r="Q39" s="913">
        <f t="shared" si="2"/>
        <v>4</v>
      </c>
      <c r="R39" s="11">
        <f t="shared" si="3"/>
        <v>0.29138468123</v>
      </c>
      <c r="S39" s="913">
        <f t="shared" si="4"/>
        <v>49</v>
      </c>
    </row>
    <row r="40" spans="1:19" x14ac:dyDescent="0.2">
      <c r="A40" s="11">
        <f t="shared" si="5"/>
        <v>38</v>
      </c>
      <c r="B40" s="11">
        <v>9.7131397207801999</v>
      </c>
      <c r="C40" s="11"/>
      <c r="D40" s="11"/>
      <c r="E40" s="11"/>
      <c r="F40" s="11"/>
      <c r="G40" s="11">
        <v>9.7131397207801999</v>
      </c>
      <c r="H40" s="11"/>
      <c r="I40" s="914">
        <f>+SUM(B41:B$501)</f>
        <v>2273.1834578583102</v>
      </c>
      <c r="J40" s="914">
        <f>+SUM(C41:C$501)</f>
        <v>496.57201865694799</v>
      </c>
      <c r="K40" s="914">
        <f t="shared" si="0"/>
        <v>2769.7554765152581</v>
      </c>
      <c r="L40" s="914">
        <f>+SUM(D41:D$501)</f>
        <v>180.8723070255447</v>
      </c>
      <c r="M40" s="914">
        <f>+SUM(E41:E$501)</f>
        <v>9021.0909523366736</v>
      </c>
      <c r="N40" s="914">
        <f>+SUM(F41:F$501)</f>
        <v>25.555690517223301</v>
      </c>
      <c r="O40" s="914">
        <f>+SUM(G41:G$501)</f>
        <v>11997.274426394702</v>
      </c>
      <c r="P40" s="11">
        <f t="shared" si="1"/>
        <v>0.73708344481799992</v>
      </c>
      <c r="Q40" s="913">
        <f t="shared" si="2"/>
        <v>3</v>
      </c>
      <c r="R40" s="11">
        <f t="shared" si="3"/>
        <v>0.29138468123</v>
      </c>
      <c r="S40" s="913">
        <f t="shared" si="4"/>
        <v>48</v>
      </c>
    </row>
    <row r="41" spans="1:19" x14ac:dyDescent="0.2">
      <c r="A41" s="11">
        <f t="shared" si="5"/>
        <v>39</v>
      </c>
      <c r="B41" s="11">
        <v>10.936908840469799</v>
      </c>
      <c r="C41" s="11"/>
      <c r="D41" s="11"/>
      <c r="E41" s="11"/>
      <c r="F41" s="11"/>
      <c r="G41" s="11">
        <v>10.936908840469799</v>
      </c>
      <c r="H41" s="11"/>
      <c r="I41" s="914">
        <f>+SUM(B42:B$501)</f>
        <v>2262.2465490178411</v>
      </c>
      <c r="J41" s="914">
        <f>+SUM(C42:C$501)</f>
        <v>496.57201865694799</v>
      </c>
      <c r="K41" s="914">
        <f t="shared" si="0"/>
        <v>2758.8185676747889</v>
      </c>
      <c r="L41" s="914">
        <f>+SUM(D42:D$501)</f>
        <v>180.8723070255447</v>
      </c>
      <c r="M41" s="914">
        <f>+SUM(E42:E$501)</f>
        <v>9021.0909523366736</v>
      </c>
      <c r="N41" s="914">
        <f>+SUM(F42:F$501)</f>
        <v>25.555690517223301</v>
      </c>
      <c r="O41" s="914">
        <f>+SUM(G42:G$501)</f>
        <v>11986.337517554235</v>
      </c>
      <c r="P41" s="11">
        <f t="shared" si="1"/>
        <v>0.73708344481799992</v>
      </c>
      <c r="Q41" s="913">
        <f t="shared" si="2"/>
        <v>2</v>
      </c>
      <c r="R41" s="11">
        <f t="shared" si="3"/>
        <v>0.29138468123</v>
      </c>
      <c r="S41" s="913">
        <f t="shared" si="4"/>
        <v>47</v>
      </c>
    </row>
    <row r="42" spans="1:19" x14ac:dyDescent="0.2">
      <c r="A42" s="11">
        <f t="shared" si="5"/>
        <v>40</v>
      </c>
      <c r="B42" s="11">
        <v>11.010629405416401</v>
      </c>
      <c r="C42" s="11">
        <v>8.5056201109300002E-4</v>
      </c>
      <c r="D42" s="11"/>
      <c r="E42" s="11"/>
      <c r="F42" s="11"/>
      <c r="G42" s="11">
        <v>11.011479967427494</v>
      </c>
      <c r="H42" s="11"/>
      <c r="I42" s="914">
        <f>+SUM(B43:B$501)</f>
        <v>2251.2359196124253</v>
      </c>
      <c r="J42" s="914">
        <f>+SUM(C43:C$501)</f>
        <v>496.57116809493687</v>
      </c>
      <c r="K42" s="914">
        <f t="shared" si="0"/>
        <v>2747.8070877073624</v>
      </c>
      <c r="L42" s="914">
        <f>+SUM(D43:D$501)</f>
        <v>180.8723070255447</v>
      </c>
      <c r="M42" s="914">
        <f>+SUM(E43:E$501)</f>
        <v>9021.0909523366736</v>
      </c>
      <c r="N42" s="914">
        <f>+SUM(F43:F$501)</f>
        <v>25.555690517223301</v>
      </c>
      <c r="O42" s="914">
        <f>+SUM(G43:G$501)</f>
        <v>11975.326037586805</v>
      </c>
      <c r="P42" s="11">
        <f t="shared" si="1"/>
        <v>0.73708344481799992</v>
      </c>
      <c r="Q42" s="913">
        <f t="shared" si="2"/>
        <v>1</v>
      </c>
      <c r="R42" s="11">
        <f t="shared" si="3"/>
        <v>0.29138468123</v>
      </c>
      <c r="S42" s="913">
        <f t="shared" si="4"/>
        <v>46</v>
      </c>
    </row>
    <row r="43" spans="1:19" x14ac:dyDescent="0.2">
      <c r="A43" s="11">
        <f t="shared" si="5"/>
        <v>41</v>
      </c>
      <c r="B43" s="11">
        <v>10.739613619725201</v>
      </c>
      <c r="C43" s="11"/>
      <c r="D43" s="11"/>
      <c r="E43" s="11">
        <v>0.73708344481799992</v>
      </c>
      <c r="F43" s="11"/>
      <c r="G43" s="11">
        <v>11.476697064543201</v>
      </c>
      <c r="H43" s="11"/>
      <c r="I43" s="914">
        <f>+SUM(B44:B$501)</f>
        <v>2240.4963059927004</v>
      </c>
      <c r="J43" s="914">
        <f>+SUM(C44:C$501)</f>
        <v>496.57116809493687</v>
      </c>
      <c r="K43" s="914">
        <f t="shared" si="0"/>
        <v>2737.0674740876375</v>
      </c>
      <c r="L43" s="914">
        <f>+SUM(D44:D$501)</f>
        <v>180.8723070255447</v>
      </c>
      <c r="M43" s="914">
        <f>+SUM(E44:E$501)</f>
        <v>9020.3538688918561</v>
      </c>
      <c r="N43" s="914">
        <f>+SUM(F44:F$501)</f>
        <v>25.555690517223301</v>
      </c>
      <c r="O43" s="914">
        <f>+SUM(G44:G$501)</f>
        <v>11963.849340522262</v>
      </c>
      <c r="P43" s="11">
        <f t="shared" si="1"/>
        <v>0.73708344481799992</v>
      </c>
      <c r="Q43" s="913">
        <f t="shared" si="2"/>
        <v>0</v>
      </c>
      <c r="R43" s="11">
        <f t="shared" si="3"/>
        <v>0.29138468123</v>
      </c>
      <c r="S43" s="913">
        <f t="shared" si="4"/>
        <v>45</v>
      </c>
    </row>
    <row r="44" spans="1:19" x14ac:dyDescent="0.2">
      <c r="A44" s="11">
        <f t="shared" si="5"/>
        <v>42</v>
      </c>
      <c r="B44" s="11">
        <v>10.288102134479535</v>
      </c>
      <c r="C44" s="11"/>
      <c r="D44" s="11"/>
      <c r="E44" s="11">
        <v>1.3194995425860001</v>
      </c>
      <c r="F44" s="11"/>
      <c r="G44" s="11">
        <v>11.607601677065535</v>
      </c>
      <c r="H44" s="11"/>
      <c r="I44" s="914">
        <f>+SUM(B45:B$501)</f>
        <v>2230.2082038582203</v>
      </c>
      <c r="J44" s="914">
        <f>+SUM(C45:C$501)</f>
        <v>496.57116809493687</v>
      </c>
      <c r="K44" s="914">
        <f t="shared" si="0"/>
        <v>2726.7793719531574</v>
      </c>
      <c r="L44" s="914">
        <f>+SUM(D45:D$501)</f>
        <v>180.8723070255447</v>
      </c>
      <c r="M44" s="914">
        <f>+SUM(E45:E$501)</f>
        <v>9019.0343693492687</v>
      </c>
      <c r="N44" s="914">
        <f>+SUM(F45:F$501)</f>
        <v>25.555690517223301</v>
      </c>
      <c r="O44" s="914">
        <f>+SUM(G45:G$501)</f>
        <v>11952.241738845198</v>
      </c>
      <c r="P44" s="11">
        <f t="shared" si="1"/>
        <v>1.3194995425860001</v>
      </c>
      <c r="Q44" s="913">
        <f t="shared" si="2"/>
        <v>0</v>
      </c>
      <c r="R44" s="11">
        <f t="shared" si="3"/>
        <v>0.29138468123</v>
      </c>
      <c r="S44" s="913">
        <f t="shared" si="4"/>
        <v>44</v>
      </c>
    </row>
    <row r="45" spans="1:19" x14ac:dyDescent="0.2">
      <c r="A45" s="11">
        <f t="shared" si="5"/>
        <v>43</v>
      </c>
      <c r="B45" s="11">
        <v>10.6297865481</v>
      </c>
      <c r="C45" s="11"/>
      <c r="D45" s="11"/>
      <c r="E45" s="11">
        <v>0.29663323823999999</v>
      </c>
      <c r="F45" s="11"/>
      <c r="G45" s="11">
        <v>10.92641978634</v>
      </c>
      <c r="H45" s="11"/>
      <c r="I45" s="914">
        <f>+SUM(B46:B$501)</f>
        <v>2219.578417310121</v>
      </c>
      <c r="J45" s="914">
        <f>+SUM(C46:C$501)</f>
        <v>496.57116809493687</v>
      </c>
      <c r="K45" s="914">
        <f t="shared" si="0"/>
        <v>2716.1495854050581</v>
      </c>
      <c r="L45" s="914">
        <f>+SUM(D46:D$501)</f>
        <v>180.8723070255447</v>
      </c>
      <c r="M45" s="914">
        <f>+SUM(E46:E$501)</f>
        <v>9018.7377361110302</v>
      </c>
      <c r="N45" s="914">
        <f>+SUM(F46:F$501)</f>
        <v>25.555690517223301</v>
      </c>
      <c r="O45" s="914">
        <f>+SUM(G46:G$501)</f>
        <v>11941.315319058856</v>
      </c>
      <c r="P45" s="11">
        <f t="shared" si="1"/>
        <v>0.29663323823999999</v>
      </c>
      <c r="Q45" s="913">
        <f t="shared" si="2"/>
        <v>0</v>
      </c>
      <c r="R45" s="11">
        <f t="shared" si="3"/>
        <v>0.29138468123</v>
      </c>
      <c r="S45" s="913">
        <f t="shared" si="4"/>
        <v>43</v>
      </c>
    </row>
    <row r="46" spans="1:19" x14ac:dyDescent="0.2">
      <c r="A46" s="11">
        <f t="shared" si="5"/>
        <v>44</v>
      </c>
      <c r="B46" s="11">
        <v>10.343841503768697</v>
      </c>
      <c r="C46" s="11"/>
      <c r="D46" s="11"/>
      <c r="E46" s="11">
        <v>0.166177913107</v>
      </c>
      <c r="F46" s="11"/>
      <c r="G46" s="11">
        <v>10.510019416875696</v>
      </c>
      <c r="H46" s="11"/>
      <c r="I46" s="914">
        <f>+SUM(B47:B$501)</f>
        <v>2209.234575806352</v>
      </c>
      <c r="J46" s="914">
        <f>+SUM(C47:C$501)</f>
        <v>496.57116809493687</v>
      </c>
      <c r="K46" s="914">
        <f t="shared" si="0"/>
        <v>2705.8057439012891</v>
      </c>
      <c r="L46" s="914">
        <f>+SUM(D47:D$501)</f>
        <v>180.8723070255447</v>
      </c>
      <c r="M46" s="914">
        <f>+SUM(E47:E$501)</f>
        <v>9018.5715581979221</v>
      </c>
      <c r="N46" s="914">
        <f>+SUM(F47:F$501)</f>
        <v>25.555690517223301</v>
      </c>
      <c r="O46" s="914">
        <f>+SUM(G47:G$501)</f>
        <v>11930.805299641983</v>
      </c>
      <c r="P46" s="11">
        <f t="shared" si="1"/>
        <v>0.166177913107</v>
      </c>
      <c r="Q46" s="913">
        <f t="shared" si="2"/>
        <v>0</v>
      </c>
      <c r="R46" s="11">
        <f t="shared" si="3"/>
        <v>0.29138468123</v>
      </c>
      <c r="S46" s="913">
        <f t="shared" si="4"/>
        <v>42</v>
      </c>
    </row>
    <row r="47" spans="1:19" x14ac:dyDescent="0.2">
      <c r="A47" s="11">
        <f t="shared" si="5"/>
        <v>45</v>
      </c>
      <c r="B47" s="11">
        <v>9.678321644890346</v>
      </c>
      <c r="C47" s="11"/>
      <c r="D47" s="11"/>
      <c r="E47" s="11">
        <v>1.4710080204113001</v>
      </c>
      <c r="F47" s="11"/>
      <c r="G47" s="11">
        <v>11.149329665301646</v>
      </c>
      <c r="H47" s="11"/>
      <c r="I47" s="914">
        <f>+SUM(B48:B$501)</f>
        <v>2199.5562541614609</v>
      </c>
      <c r="J47" s="914">
        <f>+SUM(C48:C$501)</f>
        <v>496.57116809493687</v>
      </c>
      <c r="K47" s="914">
        <f t="shared" si="0"/>
        <v>2696.1274222563979</v>
      </c>
      <c r="L47" s="914">
        <f>+SUM(D48:D$501)</f>
        <v>180.8723070255447</v>
      </c>
      <c r="M47" s="914">
        <f>+SUM(E48:E$501)</f>
        <v>9017.1005501775107</v>
      </c>
      <c r="N47" s="914">
        <f>+SUM(F48:F$501)</f>
        <v>25.555690517223301</v>
      </c>
      <c r="O47" s="914">
        <f>+SUM(G48:G$501)</f>
        <v>11919.65596997668</v>
      </c>
      <c r="P47" s="11">
        <f t="shared" si="1"/>
        <v>1.4710080204113001</v>
      </c>
      <c r="Q47" s="913">
        <f t="shared" si="2"/>
        <v>0</v>
      </c>
      <c r="R47" s="11">
        <f t="shared" si="3"/>
        <v>0.29138468123</v>
      </c>
      <c r="S47" s="913">
        <f t="shared" si="4"/>
        <v>41</v>
      </c>
    </row>
    <row r="48" spans="1:19" x14ac:dyDescent="0.2">
      <c r="A48" s="11">
        <f t="shared" si="5"/>
        <v>46</v>
      </c>
      <c r="B48" s="11">
        <v>10.357755086904</v>
      </c>
      <c r="C48" s="11"/>
      <c r="D48" s="11"/>
      <c r="E48" s="11">
        <v>1.150840220299485</v>
      </c>
      <c r="F48" s="11"/>
      <c r="G48" s="11">
        <v>11.508595307203485</v>
      </c>
      <c r="H48" s="11"/>
      <c r="I48" s="914">
        <f>+SUM(B49:B$501)</f>
        <v>2189.1984990745568</v>
      </c>
      <c r="J48" s="914">
        <f>+SUM(C49:C$501)</f>
        <v>496.57116809493687</v>
      </c>
      <c r="K48" s="914">
        <f t="shared" si="0"/>
        <v>2685.7696671694939</v>
      </c>
      <c r="L48" s="914">
        <f>+SUM(D49:D$501)</f>
        <v>180.8723070255447</v>
      </c>
      <c r="M48" s="914">
        <f>+SUM(E49:E$501)</f>
        <v>9015.9497099572109</v>
      </c>
      <c r="N48" s="914">
        <f>+SUM(F49:F$501)</f>
        <v>25.555690517223301</v>
      </c>
      <c r="O48" s="914">
        <f>+SUM(G49:G$501)</f>
        <v>11908.147374669476</v>
      </c>
      <c r="P48" s="11">
        <f t="shared" si="1"/>
        <v>1.150840220299485</v>
      </c>
      <c r="Q48" s="913">
        <f t="shared" si="2"/>
        <v>0</v>
      </c>
      <c r="R48" s="11">
        <f t="shared" si="3"/>
        <v>0.29138468123</v>
      </c>
      <c r="S48" s="913">
        <f t="shared" si="4"/>
        <v>40</v>
      </c>
    </row>
    <row r="49" spans="1:19" x14ac:dyDescent="0.2">
      <c r="A49" s="11">
        <f t="shared" si="5"/>
        <v>47</v>
      </c>
      <c r="B49" s="11">
        <v>9.5976175138601985</v>
      </c>
      <c r="C49" s="11"/>
      <c r="D49" s="11"/>
      <c r="E49" s="11">
        <v>2.14137770997</v>
      </c>
      <c r="F49" s="11"/>
      <c r="G49" s="11">
        <v>11.738995223830198</v>
      </c>
      <c r="H49" s="11"/>
      <c r="I49" s="914">
        <f>+SUM(B50:B$501)</f>
        <v>2179.6008815606965</v>
      </c>
      <c r="J49" s="914">
        <f>+SUM(C50:C$501)</f>
        <v>496.57116809493687</v>
      </c>
      <c r="K49" s="914">
        <f t="shared" si="0"/>
        <v>2676.1720496556336</v>
      </c>
      <c r="L49" s="914">
        <f>+SUM(D50:D$501)</f>
        <v>180.8723070255447</v>
      </c>
      <c r="M49" s="914">
        <f>+SUM(E50:E$501)</f>
        <v>9013.8083322472412</v>
      </c>
      <c r="N49" s="914">
        <f>+SUM(F50:F$501)</f>
        <v>25.555690517223301</v>
      </c>
      <c r="O49" s="914">
        <f>+SUM(G50:G$501)</f>
        <v>11896.408379445649</v>
      </c>
      <c r="P49" s="11">
        <f t="shared" si="1"/>
        <v>2.14137770997</v>
      </c>
      <c r="Q49" s="913">
        <f t="shared" si="2"/>
        <v>0</v>
      </c>
      <c r="R49" s="11">
        <f t="shared" si="3"/>
        <v>0.29138468123</v>
      </c>
      <c r="S49" s="913">
        <f t="shared" si="4"/>
        <v>39</v>
      </c>
    </row>
    <row r="50" spans="1:19" x14ac:dyDescent="0.2">
      <c r="A50" s="11">
        <f t="shared" si="5"/>
        <v>48</v>
      </c>
      <c r="B50" s="11">
        <v>9.5861687703087011</v>
      </c>
      <c r="C50" s="11"/>
      <c r="D50" s="11"/>
      <c r="E50" s="11">
        <v>1.93937171118</v>
      </c>
      <c r="F50" s="11"/>
      <c r="G50" s="11">
        <v>11.525540481488701</v>
      </c>
      <c r="H50" s="11"/>
      <c r="I50" s="914">
        <f>+SUM(B51:B$501)</f>
        <v>2170.0147127903874</v>
      </c>
      <c r="J50" s="914">
        <f>+SUM(C51:C$501)</f>
        <v>496.57116809493687</v>
      </c>
      <c r="K50" s="914">
        <f t="shared" si="0"/>
        <v>2666.5858808853245</v>
      </c>
      <c r="L50" s="914">
        <f>+SUM(D51:D$501)</f>
        <v>180.8723070255447</v>
      </c>
      <c r="M50" s="914">
        <f>+SUM(E51:E$501)</f>
        <v>9011.8689605360614</v>
      </c>
      <c r="N50" s="914">
        <f>+SUM(F51:F$501)</f>
        <v>25.555690517223301</v>
      </c>
      <c r="O50" s="914">
        <f>+SUM(G51:G$501)</f>
        <v>11884.88283896416</v>
      </c>
      <c r="P50" s="11">
        <f t="shared" si="1"/>
        <v>1.93937171118</v>
      </c>
      <c r="Q50" s="913">
        <f t="shared" si="2"/>
        <v>0</v>
      </c>
      <c r="R50" s="11">
        <f t="shared" si="3"/>
        <v>0.29138468123</v>
      </c>
      <c r="S50" s="913">
        <f t="shared" si="4"/>
        <v>38</v>
      </c>
    </row>
    <row r="51" spans="1:19" x14ac:dyDescent="0.2">
      <c r="A51" s="11">
        <f t="shared" si="5"/>
        <v>49</v>
      </c>
      <c r="B51" s="11">
        <v>4.2144474305394004</v>
      </c>
      <c r="C51" s="11"/>
      <c r="D51" s="11"/>
      <c r="E51" s="11">
        <v>5.8428970674</v>
      </c>
      <c r="F51" s="11"/>
      <c r="G51" s="11">
        <v>10.0573444979394</v>
      </c>
      <c r="H51" s="11"/>
      <c r="I51" s="914">
        <f>+SUM(B52:B$501)</f>
        <v>2165.8002653598478</v>
      </c>
      <c r="J51" s="914">
        <f>+SUM(C52:C$501)</f>
        <v>496.57116809493687</v>
      </c>
      <c r="K51" s="914">
        <f t="shared" si="0"/>
        <v>2662.3714334547849</v>
      </c>
      <c r="L51" s="914">
        <f>+SUM(D52:D$501)</f>
        <v>180.8723070255447</v>
      </c>
      <c r="M51" s="914">
        <f>+SUM(E52:E$501)</f>
        <v>9006.026063468662</v>
      </c>
      <c r="N51" s="914">
        <f>+SUM(F52:F$501)</f>
        <v>25.555690517223301</v>
      </c>
      <c r="O51" s="914">
        <f>+SUM(G52:G$501)</f>
        <v>11874.825494466219</v>
      </c>
      <c r="P51" s="11">
        <f t="shared" si="1"/>
        <v>5.8428970674</v>
      </c>
      <c r="Q51" s="913">
        <f t="shared" si="2"/>
        <v>0</v>
      </c>
      <c r="R51" s="11">
        <f t="shared" si="3"/>
        <v>0.29138468123</v>
      </c>
      <c r="S51" s="913">
        <f t="shared" si="4"/>
        <v>37</v>
      </c>
    </row>
    <row r="52" spans="1:19" x14ac:dyDescent="0.2">
      <c r="A52" s="11">
        <f t="shared" si="5"/>
        <v>50</v>
      </c>
      <c r="B52" s="11">
        <v>2.5643867852970001</v>
      </c>
      <c r="C52" s="11"/>
      <c r="D52" s="11"/>
      <c r="E52" s="11">
        <v>6.2113656425699997</v>
      </c>
      <c r="F52" s="11"/>
      <c r="G52" s="11">
        <v>8.7757524278669994</v>
      </c>
      <c r="H52" s="11"/>
      <c r="I52" s="914">
        <f>+SUM(B53:B$501)</f>
        <v>2163.235878574551</v>
      </c>
      <c r="J52" s="914">
        <f>+SUM(C53:C$501)</f>
        <v>496.57116809493687</v>
      </c>
      <c r="K52" s="914">
        <f t="shared" si="0"/>
        <v>2659.807046669488</v>
      </c>
      <c r="L52" s="914">
        <f>+SUM(D53:D$501)</f>
        <v>180.8723070255447</v>
      </c>
      <c r="M52" s="914">
        <f>+SUM(E53:E$501)</f>
        <v>8999.814697826092</v>
      </c>
      <c r="N52" s="914">
        <f>+SUM(F53:F$501)</f>
        <v>25.555690517223301</v>
      </c>
      <c r="O52" s="914">
        <f>+SUM(G53:G$501)</f>
        <v>11866.049742038351</v>
      </c>
      <c r="P52" s="11">
        <f t="shared" si="1"/>
        <v>6.2113656425699997</v>
      </c>
      <c r="Q52" s="913">
        <f t="shared" si="2"/>
        <v>0</v>
      </c>
      <c r="R52" s="11">
        <f t="shared" si="3"/>
        <v>0.29138468123</v>
      </c>
      <c r="S52" s="913">
        <f t="shared" si="4"/>
        <v>36</v>
      </c>
    </row>
    <row r="53" spans="1:19" x14ac:dyDescent="0.2">
      <c r="A53" s="11">
        <f t="shared" si="5"/>
        <v>51</v>
      </c>
      <c r="B53" s="11">
        <v>2.1128912675959999</v>
      </c>
      <c r="C53" s="11">
        <v>0.13440849069499999</v>
      </c>
      <c r="D53" s="11">
        <v>0.32966297577100001</v>
      </c>
      <c r="E53" s="11">
        <v>7.3262574120700004</v>
      </c>
      <c r="F53" s="11"/>
      <c r="G53" s="11">
        <v>9.903220146132</v>
      </c>
      <c r="H53" s="11"/>
      <c r="I53" s="914">
        <f>+SUM(B54:B$501)</f>
        <v>2161.1229873069551</v>
      </c>
      <c r="J53" s="914">
        <f>+SUM(C54:C$501)</f>
        <v>496.43675960424196</v>
      </c>
      <c r="K53" s="914">
        <f t="shared" si="0"/>
        <v>2657.5597469111972</v>
      </c>
      <c r="L53" s="914">
        <f>+SUM(D54:D$501)</f>
        <v>180.54264404977368</v>
      </c>
      <c r="M53" s="914">
        <f>+SUM(E54:E$501)</f>
        <v>8992.4884404140212</v>
      </c>
      <c r="N53" s="914">
        <f>+SUM(F54:F$501)</f>
        <v>25.555690517223301</v>
      </c>
      <c r="O53" s="914">
        <f>+SUM(G54:G$501)</f>
        <v>11856.14652189222</v>
      </c>
      <c r="P53" s="11">
        <f t="shared" si="1"/>
        <v>7.3262574120700004</v>
      </c>
      <c r="Q53" s="913">
        <f t="shared" si="2"/>
        <v>0</v>
      </c>
      <c r="R53" s="11">
        <f t="shared" si="3"/>
        <v>0.29138468123</v>
      </c>
      <c r="S53" s="913">
        <f t="shared" si="4"/>
        <v>35</v>
      </c>
    </row>
    <row r="54" spans="1:19" x14ac:dyDescent="0.2">
      <c r="A54" s="11">
        <f t="shared" si="5"/>
        <v>52</v>
      </c>
      <c r="B54" s="11">
        <v>4.9133595701800002E-2</v>
      </c>
      <c r="C54" s="11">
        <v>1.7382445941940001</v>
      </c>
      <c r="D54" s="11">
        <v>2.0382108326399999</v>
      </c>
      <c r="E54" s="11">
        <v>7.5711829899299996</v>
      </c>
      <c r="F54" s="11"/>
      <c r="G54" s="11">
        <v>11.396772012465799</v>
      </c>
      <c r="H54" s="11"/>
      <c r="I54" s="914">
        <f>+SUM(B55:B$501)</f>
        <v>2161.0738537112529</v>
      </c>
      <c r="J54" s="914">
        <f>+SUM(C55:C$501)</f>
        <v>494.69851501004791</v>
      </c>
      <c r="K54" s="914">
        <f t="shared" si="0"/>
        <v>2655.7723687213011</v>
      </c>
      <c r="L54" s="914">
        <f>+SUM(D55:D$501)</f>
        <v>178.50443321713368</v>
      </c>
      <c r="M54" s="914">
        <f>+SUM(E55:E$501)</f>
        <v>8984.9172574240911</v>
      </c>
      <c r="N54" s="914">
        <f>+SUM(F55:F$501)</f>
        <v>25.555690517223301</v>
      </c>
      <c r="O54" s="914">
        <f>+SUM(G55:G$501)</f>
        <v>11844.749749879753</v>
      </c>
      <c r="P54" s="11">
        <f t="shared" si="1"/>
        <v>7.5711829899299996</v>
      </c>
      <c r="Q54" s="913">
        <f t="shared" si="2"/>
        <v>0</v>
      </c>
      <c r="R54" s="11">
        <f t="shared" si="3"/>
        <v>0.29138468123</v>
      </c>
      <c r="S54" s="913">
        <f t="shared" si="4"/>
        <v>34</v>
      </c>
    </row>
    <row r="55" spans="1:19" x14ac:dyDescent="0.2">
      <c r="A55" s="11">
        <f t="shared" si="5"/>
        <v>53</v>
      </c>
      <c r="B55" s="11">
        <v>1.93243248169149</v>
      </c>
      <c r="C55" s="11">
        <v>3.806381499469</v>
      </c>
      <c r="D55" s="11">
        <v>7.8277501101500002E-2</v>
      </c>
      <c r="E55" s="11">
        <v>5.0152796553265997</v>
      </c>
      <c r="F55" s="11"/>
      <c r="G55" s="11">
        <v>10.83237113758859</v>
      </c>
      <c r="H55" s="11"/>
      <c r="I55" s="914">
        <f>+SUM(B56:B$501)</f>
        <v>2159.1414212295617</v>
      </c>
      <c r="J55" s="914">
        <f>+SUM(C56:C$501)</f>
        <v>490.89213351057901</v>
      </c>
      <c r="K55" s="914">
        <f t="shared" si="0"/>
        <v>2650.033554740141</v>
      </c>
      <c r="L55" s="914">
        <f>+SUM(D56:D$501)</f>
        <v>178.42615571603218</v>
      </c>
      <c r="M55" s="914">
        <f>+SUM(E56:E$501)</f>
        <v>8979.9019777687645</v>
      </c>
      <c r="N55" s="914">
        <f>+SUM(F56:F$501)</f>
        <v>25.555690517223301</v>
      </c>
      <c r="O55" s="914">
        <f>+SUM(G56:G$501)</f>
        <v>11833.917378742164</v>
      </c>
      <c r="P55" s="11">
        <f t="shared" si="1"/>
        <v>5.0152796553265997</v>
      </c>
      <c r="Q55" s="913">
        <f t="shared" si="2"/>
        <v>0</v>
      </c>
      <c r="R55" s="11">
        <f t="shared" si="3"/>
        <v>0.29138468123</v>
      </c>
      <c r="S55" s="913">
        <f t="shared" si="4"/>
        <v>33</v>
      </c>
    </row>
    <row r="56" spans="1:19" x14ac:dyDescent="0.2">
      <c r="A56" s="11">
        <f t="shared" si="5"/>
        <v>54</v>
      </c>
      <c r="B56" s="11">
        <v>3.3499249727329996</v>
      </c>
      <c r="C56" s="11">
        <v>1.67588863309</v>
      </c>
      <c r="D56" s="11"/>
      <c r="E56" s="11">
        <v>1.465737469317</v>
      </c>
      <c r="F56" s="11"/>
      <c r="G56" s="11">
        <v>6.4915510751400003</v>
      </c>
      <c r="H56" s="11"/>
      <c r="I56" s="914">
        <f>+SUM(B57:B$501)</f>
        <v>2155.7914962568284</v>
      </c>
      <c r="J56" s="914">
        <f>+SUM(C57:C$501)</f>
        <v>489.21624487748898</v>
      </c>
      <c r="K56" s="914">
        <f t="shared" si="0"/>
        <v>2645.0077411343173</v>
      </c>
      <c r="L56" s="914">
        <f>+SUM(D57:D$501)</f>
        <v>178.42615571603218</v>
      </c>
      <c r="M56" s="914">
        <f>+SUM(E57:E$501)</f>
        <v>8978.4362402994484</v>
      </c>
      <c r="N56" s="914">
        <f>+SUM(F57:F$501)</f>
        <v>25.555690517223301</v>
      </c>
      <c r="O56" s="914">
        <f>+SUM(G57:G$501)</f>
        <v>11827.425827667023</v>
      </c>
      <c r="P56" s="11">
        <f t="shared" si="1"/>
        <v>1.465737469317</v>
      </c>
      <c r="Q56" s="913">
        <f t="shared" si="2"/>
        <v>0</v>
      </c>
      <c r="R56" s="11">
        <f t="shared" si="3"/>
        <v>0.29138468123</v>
      </c>
      <c r="S56" s="913">
        <f t="shared" si="4"/>
        <v>32</v>
      </c>
    </row>
    <row r="57" spans="1:19" x14ac:dyDescent="0.2">
      <c r="A57" s="11">
        <f t="shared" si="5"/>
        <v>55</v>
      </c>
      <c r="B57" s="11">
        <v>3.540916509089</v>
      </c>
      <c r="C57" s="11">
        <v>1.6137001463200001E-2</v>
      </c>
      <c r="D57" s="11"/>
      <c r="E57" s="11">
        <v>0.12497288265000001</v>
      </c>
      <c r="F57" s="11"/>
      <c r="G57" s="11">
        <v>3.6820263932021997</v>
      </c>
      <c r="H57" s="11"/>
      <c r="I57" s="914">
        <f>+SUM(B58:B$501)</f>
        <v>2152.2505797477397</v>
      </c>
      <c r="J57" s="914">
        <f>+SUM(C58:C$501)</f>
        <v>489.20010787602575</v>
      </c>
      <c r="K57" s="914">
        <f t="shared" si="0"/>
        <v>2641.4506876237656</v>
      </c>
      <c r="L57" s="914">
        <f>+SUM(D58:D$501)</f>
        <v>178.42615571603218</v>
      </c>
      <c r="M57" s="914">
        <f>+SUM(E58:E$501)</f>
        <v>8978.3112674167987</v>
      </c>
      <c r="N57" s="914">
        <f>+SUM(F58:F$501)</f>
        <v>25.555690517223301</v>
      </c>
      <c r="O57" s="914">
        <f>+SUM(G58:G$501)</f>
        <v>11823.74380127382</v>
      </c>
      <c r="P57" s="11">
        <f t="shared" si="1"/>
        <v>0.12497288265000001</v>
      </c>
      <c r="Q57" s="913">
        <f t="shared" si="2"/>
        <v>0</v>
      </c>
      <c r="R57" s="11">
        <f t="shared" si="3"/>
        <v>0.29138468123</v>
      </c>
      <c r="S57" s="913">
        <f t="shared" si="4"/>
        <v>31</v>
      </c>
    </row>
    <row r="58" spans="1:19" x14ac:dyDescent="0.2">
      <c r="A58" s="11">
        <f t="shared" si="5"/>
        <v>56</v>
      </c>
      <c r="B58" s="11">
        <v>6.2385025969513999</v>
      </c>
      <c r="C58" s="11"/>
      <c r="D58" s="11"/>
      <c r="E58" s="11"/>
      <c r="F58" s="11"/>
      <c r="G58" s="11">
        <v>6.2385025969513999</v>
      </c>
      <c r="H58" s="11"/>
      <c r="I58" s="914">
        <f>+SUM(B59:B$501)</f>
        <v>2146.0120771507877</v>
      </c>
      <c r="J58" s="914">
        <f>+SUM(C59:C$501)</f>
        <v>489.20010787602575</v>
      </c>
      <c r="K58" s="914">
        <f t="shared" si="0"/>
        <v>2635.2121850268136</v>
      </c>
      <c r="L58" s="914">
        <f>+SUM(D59:D$501)</f>
        <v>178.42615571603218</v>
      </c>
      <c r="M58" s="914">
        <f>+SUM(E59:E$501)</f>
        <v>8978.3112674167987</v>
      </c>
      <c r="N58" s="914">
        <f>+SUM(F59:F$501)</f>
        <v>25.555690517223301</v>
      </c>
      <c r="O58" s="914">
        <f>+SUM(G59:G$501)</f>
        <v>11817.505298676871</v>
      </c>
      <c r="P58" s="11">
        <f t="shared" si="1"/>
        <v>0.48118362971299999</v>
      </c>
      <c r="Q58" s="913">
        <f t="shared" si="2"/>
        <v>2</v>
      </c>
      <c r="R58" s="11">
        <f t="shared" si="3"/>
        <v>0.29138468123</v>
      </c>
      <c r="S58" s="913">
        <f t="shared" si="4"/>
        <v>30</v>
      </c>
    </row>
    <row r="59" spans="1:19" x14ac:dyDescent="0.2">
      <c r="A59" s="11">
        <f t="shared" si="5"/>
        <v>57</v>
      </c>
      <c r="B59" s="11">
        <v>8.9729373626680005</v>
      </c>
      <c r="C59" s="11"/>
      <c r="D59" s="11"/>
      <c r="E59" s="11"/>
      <c r="F59" s="11"/>
      <c r="G59" s="11">
        <v>8.9729373626680005</v>
      </c>
      <c r="H59" s="11"/>
      <c r="I59" s="914">
        <f>+SUM(B60:B$501)</f>
        <v>2137.0391397881199</v>
      </c>
      <c r="J59" s="914">
        <f>+SUM(C60:C$501)</f>
        <v>489.20010787602575</v>
      </c>
      <c r="K59" s="914">
        <f t="shared" si="0"/>
        <v>2626.2392476641458</v>
      </c>
      <c r="L59" s="914">
        <f>+SUM(D60:D$501)</f>
        <v>178.42615571603218</v>
      </c>
      <c r="M59" s="914">
        <f>+SUM(E60:E$501)</f>
        <v>8978.3112674167987</v>
      </c>
      <c r="N59" s="914">
        <f>+SUM(F60:F$501)</f>
        <v>25.555690517223301</v>
      </c>
      <c r="O59" s="914">
        <f>+SUM(G60:G$501)</f>
        <v>11808.532361314203</v>
      </c>
      <c r="P59" s="11">
        <f t="shared" si="1"/>
        <v>0.48118362971299999</v>
      </c>
      <c r="Q59" s="913">
        <f t="shared" si="2"/>
        <v>1</v>
      </c>
      <c r="R59" s="11">
        <f t="shared" si="3"/>
        <v>0.29138468123</v>
      </c>
      <c r="S59" s="913">
        <f t="shared" si="4"/>
        <v>29</v>
      </c>
    </row>
    <row r="60" spans="1:19" x14ac:dyDescent="0.2">
      <c r="A60" s="11">
        <f t="shared" si="5"/>
        <v>58</v>
      </c>
      <c r="B60" s="11">
        <v>9.7719866831687323</v>
      </c>
      <c r="C60" s="11"/>
      <c r="D60" s="11"/>
      <c r="E60" s="11">
        <v>0.48118362971299999</v>
      </c>
      <c r="F60" s="11"/>
      <c r="G60" s="11">
        <v>10.253170312881732</v>
      </c>
      <c r="H60" s="11"/>
      <c r="I60" s="914">
        <f>+SUM(B61:B$501)</f>
        <v>2127.2671531049514</v>
      </c>
      <c r="J60" s="914">
        <f>+SUM(C61:C$501)</f>
        <v>489.20010787602575</v>
      </c>
      <c r="K60" s="914">
        <f t="shared" si="0"/>
        <v>2616.4672609809772</v>
      </c>
      <c r="L60" s="914">
        <f>+SUM(D61:D$501)</f>
        <v>178.42615571603218</v>
      </c>
      <c r="M60" s="914">
        <f>+SUM(E61:E$501)</f>
        <v>8977.8300837870847</v>
      </c>
      <c r="N60" s="914">
        <f>+SUM(F61:F$501)</f>
        <v>25.555690517223301</v>
      </c>
      <c r="O60" s="914">
        <f>+SUM(G61:G$501)</f>
        <v>11798.279191001322</v>
      </c>
      <c r="P60" s="11">
        <f t="shared" si="1"/>
        <v>0.48118362971299999</v>
      </c>
      <c r="Q60" s="913">
        <f t="shared" si="2"/>
        <v>0</v>
      </c>
      <c r="R60" s="11">
        <f t="shared" si="3"/>
        <v>0.29138468123</v>
      </c>
      <c r="S60" s="913">
        <f t="shared" si="4"/>
        <v>28</v>
      </c>
    </row>
    <row r="61" spans="1:19" x14ac:dyDescent="0.2">
      <c r="A61" s="11">
        <f t="shared" si="5"/>
        <v>59</v>
      </c>
      <c r="B61" s="11">
        <v>10.226423947433</v>
      </c>
      <c r="C61" s="11"/>
      <c r="D61" s="11"/>
      <c r="E61" s="11">
        <v>0.76193879354299998</v>
      </c>
      <c r="F61" s="11"/>
      <c r="G61" s="11">
        <v>10.988362740976001</v>
      </c>
      <c r="H61" s="11"/>
      <c r="I61" s="914">
        <f>+SUM(B62:B$501)</f>
        <v>2117.0407291575189</v>
      </c>
      <c r="J61" s="914">
        <f>+SUM(C62:C$501)</f>
        <v>489.20010787602575</v>
      </c>
      <c r="K61" s="914">
        <f t="shared" si="0"/>
        <v>2606.2408370335447</v>
      </c>
      <c r="L61" s="914">
        <f>+SUM(D62:D$501)</f>
        <v>178.42615571603218</v>
      </c>
      <c r="M61" s="914">
        <f>+SUM(E62:E$501)</f>
        <v>8977.0681449935419</v>
      </c>
      <c r="N61" s="914">
        <f>+SUM(F62:F$501)</f>
        <v>25.555690517223301</v>
      </c>
      <c r="O61" s="914">
        <f>+SUM(G62:G$501)</f>
        <v>11787.290828260346</v>
      </c>
      <c r="P61" s="11">
        <f t="shared" si="1"/>
        <v>0.76193879354299998</v>
      </c>
      <c r="Q61" s="913">
        <f t="shared" si="2"/>
        <v>0</v>
      </c>
      <c r="R61" s="11">
        <f t="shared" si="3"/>
        <v>0.29138468123</v>
      </c>
      <c r="S61" s="913">
        <f t="shared" si="4"/>
        <v>27</v>
      </c>
    </row>
    <row r="62" spans="1:19" x14ac:dyDescent="0.2">
      <c r="A62" s="11">
        <f t="shared" si="5"/>
        <v>60</v>
      </c>
      <c r="B62" s="11">
        <v>10.450451248433001</v>
      </c>
      <c r="C62" s="11">
        <v>0.32874750572099998</v>
      </c>
      <c r="D62" s="11"/>
      <c r="E62" s="11">
        <v>0.76134660334100002</v>
      </c>
      <c r="F62" s="11"/>
      <c r="G62" s="11">
        <v>11.540545357495001</v>
      </c>
      <c r="H62" s="11"/>
      <c r="I62" s="914">
        <f>+SUM(B63:B$501)</f>
        <v>2106.5902779090866</v>
      </c>
      <c r="J62" s="914">
        <f>+SUM(C63:C$501)</f>
        <v>488.87136037030473</v>
      </c>
      <c r="K62" s="914">
        <f t="shared" si="0"/>
        <v>2595.4616382793911</v>
      </c>
      <c r="L62" s="914">
        <f>+SUM(D63:D$501)</f>
        <v>178.42615571603218</v>
      </c>
      <c r="M62" s="914">
        <f>+SUM(E63:E$501)</f>
        <v>8976.3067983902001</v>
      </c>
      <c r="N62" s="914">
        <f>+SUM(F63:F$501)</f>
        <v>25.555690517223301</v>
      </c>
      <c r="O62" s="914">
        <f>+SUM(G63:G$501)</f>
        <v>11775.750282902849</v>
      </c>
      <c r="P62" s="11">
        <f t="shared" si="1"/>
        <v>0.76134660334100002</v>
      </c>
      <c r="Q62" s="913">
        <f t="shared" si="2"/>
        <v>0</v>
      </c>
      <c r="R62" s="11">
        <f t="shared" si="3"/>
        <v>0.29138468123</v>
      </c>
      <c r="S62" s="913">
        <f t="shared" si="4"/>
        <v>26</v>
      </c>
    </row>
    <row r="63" spans="1:19" x14ac:dyDescent="0.2">
      <c r="A63" s="11">
        <f t="shared" si="5"/>
        <v>61</v>
      </c>
      <c r="B63" s="11">
        <v>10.0959717113405</v>
      </c>
      <c r="C63" s="11">
        <v>0.47761862864600002</v>
      </c>
      <c r="D63" s="11"/>
      <c r="E63" s="11">
        <v>1.1902831098793001</v>
      </c>
      <c r="F63" s="11"/>
      <c r="G63" s="11">
        <v>11.7638734498658</v>
      </c>
      <c r="H63" s="11"/>
      <c r="I63" s="914">
        <f>+SUM(B64:B$501)</f>
        <v>2096.4943061977469</v>
      </c>
      <c r="J63" s="914">
        <f>+SUM(C64:C$501)</f>
        <v>488.3937417416588</v>
      </c>
      <c r="K63" s="914">
        <f t="shared" si="0"/>
        <v>2584.8880479394056</v>
      </c>
      <c r="L63" s="914">
        <f>+SUM(D64:D$501)</f>
        <v>178.42615571603218</v>
      </c>
      <c r="M63" s="914">
        <f>+SUM(E64:E$501)</f>
        <v>8975.1165152803223</v>
      </c>
      <c r="N63" s="914">
        <f>+SUM(F64:F$501)</f>
        <v>25.555690517223301</v>
      </c>
      <c r="O63" s="914">
        <f>+SUM(G64:G$501)</f>
        <v>11763.986409452984</v>
      </c>
      <c r="P63" s="11">
        <f t="shared" si="1"/>
        <v>1.1902831098793001</v>
      </c>
      <c r="Q63" s="913">
        <f t="shared" si="2"/>
        <v>0</v>
      </c>
      <c r="R63" s="11">
        <f t="shared" si="3"/>
        <v>0.29138468123</v>
      </c>
      <c r="S63" s="913">
        <f t="shared" si="4"/>
        <v>25</v>
      </c>
    </row>
    <row r="64" spans="1:19" x14ac:dyDescent="0.2">
      <c r="A64" s="11">
        <f t="shared" si="5"/>
        <v>62</v>
      </c>
      <c r="B64" s="11">
        <v>8.9095257737559415</v>
      </c>
      <c r="C64" s="11"/>
      <c r="D64" s="11"/>
      <c r="E64" s="11">
        <v>0.58215188991819999</v>
      </c>
      <c r="F64" s="11"/>
      <c r="G64" s="11">
        <v>9.4916776636741407</v>
      </c>
      <c r="H64" s="11"/>
      <c r="I64" s="914">
        <f>+SUM(B65:B$501)</f>
        <v>2087.5847804239911</v>
      </c>
      <c r="J64" s="914">
        <f>+SUM(C65:C$501)</f>
        <v>488.3937417416588</v>
      </c>
      <c r="K64" s="914">
        <f t="shared" si="0"/>
        <v>2575.9785221656498</v>
      </c>
      <c r="L64" s="914">
        <f>+SUM(D65:D$501)</f>
        <v>178.42615571603218</v>
      </c>
      <c r="M64" s="914">
        <f>+SUM(E65:E$501)</f>
        <v>8974.5343633904031</v>
      </c>
      <c r="N64" s="914">
        <f>+SUM(F65:F$501)</f>
        <v>25.555690517223301</v>
      </c>
      <c r="O64" s="914">
        <f>+SUM(G65:G$501)</f>
        <v>11754.494731789309</v>
      </c>
      <c r="P64" s="11">
        <f t="shared" si="1"/>
        <v>0.58215188991819999</v>
      </c>
      <c r="Q64" s="913">
        <f t="shared" si="2"/>
        <v>0</v>
      </c>
      <c r="R64" s="11">
        <f t="shared" si="3"/>
        <v>0.29138468123</v>
      </c>
      <c r="S64" s="913">
        <f t="shared" si="4"/>
        <v>24</v>
      </c>
    </row>
    <row r="65" spans="1:19" x14ac:dyDescent="0.2">
      <c r="A65" s="11">
        <f t="shared" si="5"/>
        <v>63</v>
      </c>
      <c r="B65" s="11">
        <v>7.1967277979240984</v>
      </c>
      <c r="C65" s="11"/>
      <c r="D65" s="11"/>
      <c r="E65" s="11">
        <v>0.66836720295100005</v>
      </c>
      <c r="F65" s="11"/>
      <c r="G65" s="11">
        <v>7.8650950008750984</v>
      </c>
      <c r="H65" s="11"/>
      <c r="I65" s="914">
        <f>+SUM(B66:B$501)</f>
        <v>2080.3880526260668</v>
      </c>
      <c r="J65" s="914">
        <f>+SUM(C66:C$501)</f>
        <v>488.3937417416588</v>
      </c>
      <c r="K65" s="914">
        <f t="shared" si="0"/>
        <v>2568.7817943677255</v>
      </c>
      <c r="L65" s="914">
        <f>+SUM(D66:D$501)</f>
        <v>178.42615571603218</v>
      </c>
      <c r="M65" s="914">
        <f>+SUM(E66:E$501)</f>
        <v>8973.8659961874528</v>
      </c>
      <c r="N65" s="914">
        <f>+SUM(F66:F$501)</f>
        <v>25.555690517223301</v>
      </c>
      <c r="O65" s="914">
        <f>+SUM(G66:G$501)</f>
        <v>11746.629636788435</v>
      </c>
      <c r="P65" s="11">
        <f t="shared" si="1"/>
        <v>0.66836720295100005</v>
      </c>
      <c r="Q65" s="913">
        <f t="shared" si="2"/>
        <v>0</v>
      </c>
      <c r="R65" s="11">
        <f t="shared" si="3"/>
        <v>0.29138468123</v>
      </c>
      <c r="S65" s="913">
        <f t="shared" si="4"/>
        <v>23</v>
      </c>
    </row>
    <row r="66" spans="1:19" x14ac:dyDescent="0.2">
      <c r="A66" s="11">
        <f t="shared" si="5"/>
        <v>64</v>
      </c>
      <c r="B66" s="11">
        <v>6.9691806050880007</v>
      </c>
      <c r="C66" s="11"/>
      <c r="D66" s="11"/>
      <c r="E66" s="11">
        <v>4.0316700028000002E-2</v>
      </c>
      <c r="F66" s="11"/>
      <c r="G66" s="11">
        <v>7.0094973051160006</v>
      </c>
      <c r="H66" s="11"/>
      <c r="I66" s="914">
        <f>+SUM(B67:B$501)</f>
        <v>2073.4188720209791</v>
      </c>
      <c r="J66" s="914">
        <f>+SUM(C67:C$501)</f>
        <v>488.3937417416588</v>
      </c>
      <c r="K66" s="914">
        <f t="shared" si="0"/>
        <v>2561.8126137626377</v>
      </c>
      <c r="L66" s="914">
        <f>+SUM(D67:D$501)</f>
        <v>178.42615571603218</v>
      </c>
      <c r="M66" s="914">
        <f>+SUM(E67:E$501)</f>
        <v>8973.8256794874251</v>
      </c>
      <c r="N66" s="914">
        <f>+SUM(F67:F$501)</f>
        <v>25.555690517223301</v>
      </c>
      <c r="O66" s="914">
        <f>+SUM(G67:G$501)</f>
        <v>11739.620139483319</v>
      </c>
      <c r="P66" s="11">
        <f t="shared" si="1"/>
        <v>4.0316700028000002E-2</v>
      </c>
      <c r="Q66" s="913">
        <f t="shared" si="2"/>
        <v>0</v>
      </c>
      <c r="R66" s="11">
        <f t="shared" si="3"/>
        <v>0.29138468123</v>
      </c>
      <c r="S66" s="913">
        <f t="shared" si="4"/>
        <v>22</v>
      </c>
    </row>
    <row r="67" spans="1:19" x14ac:dyDescent="0.2">
      <c r="A67" s="11">
        <f t="shared" si="5"/>
        <v>65</v>
      </c>
      <c r="B67" s="11">
        <v>6.1494462706108202</v>
      </c>
      <c r="C67" s="11"/>
      <c r="D67" s="11"/>
      <c r="E67" s="11"/>
      <c r="F67" s="11"/>
      <c r="G67" s="11">
        <v>6.1494462706108202</v>
      </c>
      <c r="H67" s="11"/>
      <c r="I67" s="914">
        <f>+SUM(B68:B$501)</f>
        <v>2067.2694257503681</v>
      </c>
      <c r="J67" s="914">
        <f>+SUM(C68:C$501)</f>
        <v>488.3937417416588</v>
      </c>
      <c r="K67" s="914">
        <f t="shared" si="0"/>
        <v>2555.6631674920268</v>
      </c>
      <c r="L67" s="914">
        <f>+SUM(D68:D$501)</f>
        <v>178.42615571603218</v>
      </c>
      <c r="M67" s="914">
        <f>+SUM(E68:E$501)</f>
        <v>8973.8256794874251</v>
      </c>
      <c r="N67" s="914">
        <f>+SUM(F68:F$501)</f>
        <v>25.555690517223301</v>
      </c>
      <c r="O67" s="914">
        <f>+SUM(G68:G$501)</f>
        <v>11733.470693212708</v>
      </c>
      <c r="P67" s="11">
        <f t="shared" si="1"/>
        <v>0.34606211475859999</v>
      </c>
      <c r="Q67" s="913">
        <f t="shared" si="2"/>
        <v>12</v>
      </c>
      <c r="R67" s="11">
        <f t="shared" si="3"/>
        <v>0.29138468123</v>
      </c>
      <c r="S67" s="913">
        <f t="shared" si="4"/>
        <v>21</v>
      </c>
    </row>
    <row r="68" spans="1:19" x14ac:dyDescent="0.2">
      <c r="A68" s="11">
        <f t="shared" si="5"/>
        <v>66</v>
      </c>
      <c r="B68" s="11">
        <v>5.7938875104390002</v>
      </c>
      <c r="C68" s="11"/>
      <c r="D68" s="11"/>
      <c r="E68" s="11"/>
      <c r="F68" s="11"/>
      <c r="G68" s="11">
        <v>5.7938875104390002</v>
      </c>
      <c r="H68" s="11"/>
      <c r="I68" s="914">
        <f>+SUM(B69:B$501)</f>
        <v>2061.4755382399289</v>
      </c>
      <c r="J68" s="914">
        <f>+SUM(C69:C$501)</f>
        <v>488.3937417416588</v>
      </c>
      <c r="K68" s="914">
        <f t="shared" ref="K68:K131" si="6">+I68+J68</f>
        <v>2549.8692799815876</v>
      </c>
      <c r="L68" s="914">
        <f>+SUM(D69:D$501)</f>
        <v>178.42615571603218</v>
      </c>
      <c r="M68" s="914">
        <f>+SUM(E69:E$501)</f>
        <v>8973.8256794874251</v>
      </c>
      <c r="N68" s="914">
        <f>+SUM(F69:F$501)</f>
        <v>25.555690517223301</v>
      </c>
      <c r="O68" s="914">
        <f>+SUM(G69:G$501)</f>
        <v>11727.676805702271</v>
      </c>
      <c r="P68" s="11">
        <f t="shared" ref="P68:P131" si="7">IF(E68&gt;0,E68,P69)</f>
        <v>0.34606211475859999</v>
      </c>
      <c r="Q68" s="913">
        <f t="shared" ref="Q68:Q131" si="8">+IF(E68&gt;0, 0, Q69+A69-A68)</f>
        <v>11</v>
      </c>
      <c r="R68" s="11">
        <f t="shared" ref="R68:R131" si="9">IF(F68&gt;0,F68,R69)</f>
        <v>0.29138468123</v>
      </c>
      <c r="S68" s="913">
        <f t="shared" ref="S68:S131" si="10">+IF(F68&gt;0, 0, S69+A69-A68)</f>
        <v>20</v>
      </c>
    </row>
    <row r="69" spans="1:19" x14ac:dyDescent="0.2">
      <c r="A69" s="11">
        <f t="shared" si="5"/>
        <v>67</v>
      </c>
      <c r="B69" s="11">
        <v>5.6535731960639994</v>
      </c>
      <c r="C69" s="11"/>
      <c r="D69" s="11"/>
      <c r="E69" s="11"/>
      <c r="F69" s="11"/>
      <c r="G69" s="11">
        <v>5.6535731960639994</v>
      </c>
      <c r="H69" s="11"/>
      <c r="I69" s="914">
        <f>+SUM(B70:B$501)</f>
        <v>2055.821965043865</v>
      </c>
      <c r="J69" s="914">
        <f>+SUM(C70:C$501)</f>
        <v>488.3937417416588</v>
      </c>
      <c r="K69" s="914">
        <f t="shared" si="6"/>
        <v>2544.2157067855237</v>
      </c>
      <c r="L69" s="914">
        <f>+SUM(D70:D$501)</f>
        <v>178.42615571603218</v>
      </c>
      <c r="M69" s="914">
        <f>+SUM(E70:E$501)</f>
        <v>8973.8256794874251</v>
      </c>
      <c r="N69" s="914">
        <f>+SUM(F70:F$501)</f>
        <v>25.555690517223301</v>
      </c>
      <c r="O69" s="914">
        <f>+SUM(G70:G$501)</f>
        <v>11722.023232506206</v>
      </c>
      <c r="P69" s="11">
        <f t="shared" si="7"/>
        <v>0.34606211475859999</v>
      </c>
      <c r="Q69" s="913">
        <f t="shared" si="8"/>
        <v>10</v>
      </c>
      <c r="R69" s="11">
        <f t="shared" si="9"/>
        <v>0.29138468123</v>
      </c>
      <c r="S69" s="913">
        <f t="shared" si="10"/>
        <v>19</v>
      </c>
    </row>
    <row r="70" spans="1:19" x14ac:dyDescent="0.2">
      <c r="A70" s="11">
        <f t="shared" ref="A70:A133" si="11">1+A69</f>
        <v>68</v>
      </c>
      <c r="B70" s="11">
        <v>5.3830323584072417</v>
      </c>
      <c r="C70" s="11"/>
      <c r="D70" s="11"/>
      <c r="E70" s="11"/>
      <c r="F70" s="11"/>
      <c r="G70" s="11">
        <v>5.3830323584072417</v>
      </c>
      <c r="H70" s="11"/>
      <c r="I70" s="914">
        <f>+SUM(B71:B$501)</f>
        <v>2050.4389326854575</v>
      </c>
      <c r="J70" s="914">
        <f>+SUM(C71:C$501)</f>
        <v>488.3937417416588</v>
      </c>
      <c r="K70" s="914">
        <f t="shared" si="6"/>
        <v>2538.8326744271162</v>
      </c>
      <c r="L70" s="914">
        <f>+SUM(D71:D$501)</f>
        <v>178.42615571603218</v>
      </c>
      <c r="M70" s="914">
        <f>+SUM(E71:E$501)</f>
        <v>8973.8256794874251</v>
      </c>
      <c r="N70" s="914">
        <f>+SUM(F71:F$501)</f>
        <v>25.555690517223301</v>
      </c>
      <c r="O70" s="914">
        <f>+SUM(G71:G$501)</f>
        <v>11716.640200147798</v>
      </c>
      <c r="P70" s="11">
        <f t="shared" si="7"/>
        <v>0.34606211475859999</v>
      </c>
      <c r="Q70" s="913">
        <f t="shared" si="8"/>
        <v>9</v>
      </c>
      <c r="R70" s="11">
        <f t="shared" si="9"/>
        <v>0.29138468123</v>
      </c>
      <c r="S70" s="913">
        <f t="shared" si="10"/>
        <v>18</v>
      </c>
    </row>
    <row r="71" spans="1:19" x14ac:dyDescent="0.2">
      <c r="A71" s="11">
        <f t="shared" si="11"/>
        <v>69</v>
      </c>
      <c r="B71" s="11">
        <v>4.5230530042750008</v>
      </c>
      <c r="C71" s="11"/>
      <c r="D71" s="11"/>
      <c r="E71" s="11"/>
      <c r="F71" s="11"/>
      <c r="G71" s="11">
        <v>4.5230530042750008</v>
      </c>
      <c r="H71" s="11"/>
      <c r="I71" s="914">
        <f>+SUM(B72:B$501)</f>
        <v>2045.9158796811823</v>
      </c>
      <c r="J71" s="914">
        <f>+SUM(C72:C$501)</f>
        <v>488.3937417416588</v>
      </c>
      <c r="K71" s="914">
        <f t="shared" si="6"/>
        <v>2534.3096214228412</v>
      </c>
      <c r="L71" s="914">
        <f>+SUM(D72:D$501)</f>
        <v>178.42615571603218</v>
      </c>
      <c r="M71" s="914">
        <f>+SUM(E72:E$501)</f>
        <v>8973.8256794874251</v>
      </c>
      <c r="N71" s="914">
        <f>+SUM(F72:F$501)</f>
        <v>25.555690517223301</v>
      </c>
      <c r="O71" s="914">
        <f>+SUM(G72:G$501)</f>
        <v>11712.117147143523</v>
      </c>
      <c r="P71" s="11">
        <f t="shared" si="7"/>
        <v>0.34606211475859999</v>
      </c>
      <c r="Q71" s="913">
        <f t="shared" si="8"/>
        <v>8</v>
      </c>
      <c r="R71" s="11">
        <f t="shared" si="9"/>
        <v>0.29138468123</v>
      </c>
      <c r="S71" s="913">
        <f t="shared" si="10"/>
        <v>17</v>
      </c>
    </row>
    <row r="72" spans="1:19" x14ac:dyDescent="0.2">
      <c r="A72" s="11">
        <f t="shared" si="11"/>
        <v>70</v>
      </c>
      <c r="B72" s="11">
        <v>3.7428029032950003</v>
      </c>
      <c r="C72" s="11"/>
      <c r="D72" s="11"/>
      <c r="E72" s="11"/>
      <c r="F72" s="11"/>
      <c r="G72" s="11">
        <v>3.7428029032950003</v>
      </c>
      <c r="H72" s="11"/>
      <c r="I72" s="914">
        <f>+SUM(B73:B$501)</f>
        <v>2042.1730767778872</v>
      </c>
      <c r="J72" s="914">
        <f>+SUM(C73:C$501)</f>
        <v>488.3937417416588</v>
      </c>
      <c r="K72" s="914">
        <f t="shared" si="6"/>
        <v>2530.5668185195459</v>
      </c>
      <c r="L72" s="914">
        <f>+SUM(D73:D$501)</f>
        <v>178.42615571603218</v>
      </c>
      <c r="M72" s="914">
        <f>+SUM(E73:E$501)</f>
        <v>8973.8256794874251</v>
      </c>
      <c r="N72" s="914">
        <f>+SUM(F73:F$501)</f>
        <v>25.555690517223301</v>
      </c>
      <c r="O72" s="914">
        <f>+SUM(G73:G$501)</f>
        <v>11708.37434424023</v>
      </c>
      <c r="P72" s="11">
        <f t="shared" si="7"/>
        <v>0.34606211475859999</v>
      </c>
      <c r="Q72" s="913">
        <f t="shared" si="8"/>
        <v>7</v>
      </c>
      <c r="R72" s="11">
        <f t="shared" si="9"/>
        <v>0.29138468123</v>
      </c>
      <c r="S72" s="913">
        <f t="shared" si="10"/>
        <v>16</v>
      </c>
    </row>
    <row r="73" spans="1:19" x14ac:dyDescent="0.2">
      <c r="A73" s="11">
        <f t="shared" si="11"/>
        <v>71</v>
      </c>
      <c r="B73" s="11">
        <v>3.269149088921</v>
      </c>
      <c r="C73" s="11"/>
      <c r="D73" s="11"/>
      <c r="E73" s="11"/>
      <c r="F73" s="11"/>
      <c r="G73" s="11">
        <v>3.269149088921</v>
      </c>
      <c r="H73" s="11"/>
      <c r="I73" s="914">
        <f>+SUM(B74:B$501)</f>
        <v>2038.9039276889664</v>
      </c>
      <c r="J73" s="914">
        <f>+SUM(C74:C$501)</f>
        <v>488.3937417416588</v>
      </c>
      <c r="K73" s="914">
        <f t="shared" si="6"/>
        <v>2527.2976694306253</v>
      </c>
      <c r="L73" s="914">
        <f>+SUM(D74:D$501)</f>
        <v>178.42615571603218</v>
      </c>
      <c r="M73" s="914">
        <f>+SUM(E74:E$501)</f>
        <v>8973.8256794874251</v>
      </c>
      <c r="N73" s="914">
        <f>+SUM(F74:F$501)</f>
        <v>25.555690517223301</v>
      </c>
      <c r="O73" s="914">
        <f>+SUM(G74:G$501)</f>
        <v>11705.105195151307</v>
      </c>
      <c r="P73" s="11">
        <f t="shared" si="7"/>
        <v>0.34606211475859999</v>
      </c>
      <c r="Q73" s="913">
        <f t="shared" si="8"/>
        <v>6</v>
      </c>
      <c r="R73" s="11">
        <f t="shared" si="9"/>
        <v>0.29138468123</v>
      </c>
      <c r="S73" s="913">
        <f t="shared" si="10"/>
        <v>15</v>
      </c>
    </row>
    <row r="74" spans="1:19" x14ac:dyDescent="0.2">
      <c r="A74" s="11">
        <f t="shared" si="11"/>
        <v>72</v>
      </c>
      <c r="B74" s="11">
        <v>2.830726901122</v>
      </c>
      <c r="C74" s="11">
        <v>0.187191661648</v>
      </c>
      <c r="D74" s="11"/>
      <c r="E74" s="11"/>
      <c r="F74" s="11"/>
      <c r="G74" s="11">
        <v>3.0179185627699998</v>
      </c>
      <c r="H74" s="11"/>
      <c r="I74" s="914">
        <f>+SUM(B75:B$501)</f>
        <v>2036.0732007878444</v>
      </c>
      <c r="J74" s="914">
        <f>+SUM(C75:C$501)</f>
        <v>488.20655008001074</v>
      </c>
      <c r="K74" s="914">
        <f t="shared" si="6"/>
        <v>2524.279750867855</v>
      </c>
      <c r="L74" s="914">
        <f>+SUM(D75:D$501)</f>
        <v>178.42615571603218</v>
      </c>
      <c r="M74" s="914">
        <f>+SUM(E75:E$501)</f>
        <v>8973.8256794874251</v>
      </c>
      <c r="N74" s="914">
        <f>+SUM(F75:F$501)</f>
        <v>25.555690517223301</v>
      </c>
      <c r="O74" s="914">
        <f>+SUM(G75:G$501)</f>
        <v>11702.087276588536</v>
      </c>
      <c r="P74" s="11">
        <f t="shared" si="7"/>
        <v>0.34606211475859999</v>
      </c>
      <c r="Q74" s="913">
        <f t="shared" si="8"/>
        <v>5</v>
      </c>
      <c r="R74" s="11">
        <f t="shared" si="9"/>
        <v>0.29138468123</v>
      </c>
      <c r="S74" s="913">
        <f t="shared" si="10"/>
        <v>14</v>
      </c>
    </row>
    <row r="75" spans="1:19" x14ac:dyDescent="0.2">
      <c r="A75" s="11">
        <f t="shared" si="11"/>
        <v>73</v>
      </c>
      <c r="B75" s="11">
        <v>2.9972672725519995</v>
      </c>
      <c r="C75" s="11"/>
      <c r="D75" s="11"/>
      <c r="E75" s="11"/>
      <c r="F75" s="11"/>
      <c r="G75" s="11">
        <v>2.9972672725519995</v>
      </c>
      <c r="H75" s="11"/>
      <c r="I75" s="914">
        <f>+SUM(B76:B$501)</f>
        <v>2033.0759335152923</v>
      </c>
      <c r="J75" s="914">
        <f>+SUM(C76:C$501)</f>
        <v>488.20655008001074</v>
      </c>
      <c r="K75" s="914">
        <f t="shared" si="6"/>
        <v>2521.2824835953029</v>
      </c>
      <c r="L75" s="914">
        <f>+SUM(D76:D$501)</f>
        <v>178.42615571603218</v>
      </c>
      <c r="M75" s="914">
        <f>+SUM(E76:E$501)</f>
        <v>8973.8256794874251</v>
      </c>
      <c r="N75" s="914">
        <f>+SUM(F76:F$501)</f>
        <v>25.555690517223301</v>
      </c>
      <c r="O75" s="914">
        <f>+SUM(G76:G$501)</f>
        <v>11699.090009315987</v>
      </c>
      <c r="P75" s="11">
        <f t="shared" si="7"/>
        <v>0.34606211475859999</v>
      </c>
      <c r="Q75" s="913">
        <f t="shared" si="8"/>
        <v>4</v>
      </c>
      <c r="R75" s="11">
        <f t="shared" si="9"/>
        <v>0.29138468123</v>
      </c>
      <c r="S75" s="913">
        <f t="shared" si="10"/>
        <v>13</v>
      </c>
    </row>
    <row r="76" spans="1:19" x14ac:dyDescent="0.2">
      <c r="A76" s="11">
        <f t="shared" si="11"/>
        <v>74</v>
      </c>
      <c r="B76" s="11">
        <v>2.7726199654439001</v>
      </c>
      <c r="C76" s="11">
        <v>0.2010768415052</v>
      </c>
      <c r="D76" s="11">
        <v>7.3801918714300002E-2</v>
      </c>
      <c r="E76" s="11"/>
      <c r="F76" s="11"/>
      <c r="G76" s="11">
        <v>3.0474987256634001</v>
      </c>
      <c r="H76" s="11"/>
      <c r="I76" s="914">
        <f>+SUM(B77:B$501)</f>
        <v>2030.3033135498481</v>
      </c>
      <c r="J76" s="914">
        <f>+SUM(C77:C$501)</f>
        <v>488.0054732385056</v>
      </c>
      <c r="K76" s="914">
        <f t="shared" si="6"/>
        <v>2518.3087867883537</v>
      </c>
      <c r="L76" s="914">
        <f>+SUM(D77:D$501)</f>
        <v>178.3523537973179</v>
      </c>
      <c r="M76" s="914">
        <f>+SUM(E77:E$501)</f>
        <v>8973.8256794874251</v>
      </c>
      <c r="N76" s="914">
        <f>+SUM(F77:F$501)</f>
        <v>25.555690517223301</v>
      </c>
      <c r="O76" s="914">
        <f>+SUM(G77:G$501)</f>
        <v>11696.042510590323</v>
      </c>
      <c r="P76" s="11">
        <f t="shared" si="7"/>
        <v>0.34606211475859999</v>
      </c>
      <c r="Q76" s="913">
        <f t="shared" si="8"/>
        <v>3</v>
      </c>
      <c r="R76" s="11">
        <f t="shared" si="9"/>
        <v>0.29138468123</v>
      </c>
      <c r="S76" s="913">
        <f t="shared" si="10"/>
        <v>12</v>
      </c>
    </row>
    <row r="77" spans="1:19" x14ac:dyDescent="0.2">
      <c r="A77" s="11">
        <f t="shared" si="11"/>
        <v>75</v>
      </c>
      <c r="B77" s="11">
        <v>1.841644052893</v>
      </c>
      <c r="C77" s="11">
        <v>0.3316461416798</v>
      </c>
      <c r="D77" s="11">
        <v>1.26046177759</v>
      </c>
      <c r="E77" s="11"/>
      <c r="F77" s="11"/>
      <c r="G77" s="11">
        <v>3.4337519721628</v>
      </c>
      <c r="H77" s="11"/>
      <c r="I77" s="914">
        <f>+SUM(B78:B$501)</f>
        <v>2028.4616694969552</v>
      </c>
      <c r="J77" s="914">
        <f>+SUM(C78:C$501)</f>
        <v>487.67382709682579</v>
      </c>
      <c r="K77" s="914">
        <f t="shared" si="6"/>
        <v>2516.1354965937808</v>
      </c>
      <c r="L77" s="914">
        <f>+SUM(D78:D$501)</f>
        <v>177.09189201972788</v>
      </c>
      <c r="M77" s="914">
        <f>+SUM(E78:E$501)</f>
        <v>8973.8256794874251</v>
      </c>
      <c r="N77" s="914">
        <f>+SUM(F78:F$501)</f>
        <v>25.555690517223301</v>
      </c>
      <c r="O77" s="914">
        <f>+SUM(G78:G$501)</f>
        <v>11692.60875861816</v>
      </c>
      <c r="P77" s="11">
        <f t="shared" si="7"/>
        <v>0.34606211475859999</v>
      </c>
      <c r="Q77" s="913">
        <f t="shared" si="8"/>
        <v>2</v>
      </c>
      <c r="R77" s="11">
        <f t="shared" si="9"/>
        <v>0.29138468123</v>
      </c>
      <c r="S77" s="913">
        <f t="shared" si="10"/>
        <v>11</v>
      </c>
    </row>
    <row r="78" spans="1:19" x14ac:dyDescent="0.2">
      <c r="A78" s="11">
        <f t="shared" si="11"/>
        <v>76</v>
      </c>
      <c r="B78" s="11">
        <v>3.9906173657298702</v>
      </c>
      <c r="C78" s="11"/>
      <c r="D78" s="11"/>
      <c r="E78" s="11"/>
      <c r="F78" s="11"/>
      <c r="G78" s="11">
        <v>3.9906173657298702</v>
      </c>
      <c r="H78" s="11"/>
      <c r="I78" s="914">
        <f>+SUM(B79:B$501)</f>
        <v>2024.4710521312254</v>
      </c>
      <c r="J78" s="914">
        <f>+SUM(C79:C$501)</f>
        <v>487.67382709682579</v>
      </c>
      <c r="K78" s="914">
        <f t="shared" si="6"/>
        <v>2512.1448792280512</v>
      </c>
      <c r="L78" s="914">
        <f>+SUM(D79:D$501)</f>
        <v>177.09189201972788</v>
      </c>
      <c r="M78" s="914">
        <f>+SUM(E79:E$501)</f>
        <v>8973.8256794874251</v>
      </c>
      <c r="N78" s="914">
        <f>+SUM(F79:F$501)</f>
        <v>25.555690517223301</v>
      </c>
      <c r="O78" s="914">
        <f>+SUM(G79:G$501)</f>
        <v>11688.618141252431</v>
      </c>
      <c r="P78" s="11">
        <f t="shared" si="7"/>
        <v>0.34606211475859999</v>
      </c>
      <c r="Q78" s="913">
        <f t="shared" si="8"/>
        <v>1</v>
      </c>
      <c r="R78" s="11">
        <f t="shared" si="9"/>
        <v>0.29138468123</v>
      </c>
      <c r="S78" s="913">
        <f t="shared" si="10"/>
        <v>10</v>
      </c>
    </row>
    <row r="79" spans="1:19" x14ac:dyDescent="0.2">
      <c r="A79" s="11">
        <f t="shared" si="11"/>
        <v>77</v>
      </c>
      <c r="B79" s="11">
        <v>4.4964445466814098</v>
      </c>
      <c r="C79" s="11"/>
      <c r="D79" s="11"/>
      <c r="E79" s="11">
        <v>0.34606211475859999</v>
      </c>
      <c r="F79" s="11"/>
      <c r="G79" s="11">
        <v>4.8425066614400096</v>
      </c>
      <c r="H79" s="11"/>
      <c r="I79" s="914">
        <f>+SUM(B80:B$501)</f>
        <v>2019.9746075845439</v>
      </c>
      <c r="J79" s="914">
        <f>+SUM(C80:C$501)</f>
        <v>487.67382709682579</v>
      </c>
      <c r="K79" s="914">
        <f t="shared" si="6"/>
        <v>2507.6484346813695</v>
      </c>
      <c r="L79" s="914">
        <f>+SUM(D80:D$501)</f>
        <v>177.09189201972788</v>
      </c>
      <c r="M79" s="914">
        <f>+SUM(E80:E$501)</f>
        <v>8973.4796173726663</v>
      </c>
      <c r="N79" s="914">
        <f>+SUM(F80:F$501)</f>
        <v>25.555690517223301</v>
      </c>
      <c r="O79" s="914">
        <f>+SUM(G80:G$501)</f>
        <v>11683.775634590991</v>
      </c>
      <c r="P79" s="11">
        <f t="shared" si="7"/>
        <v>0.34606211475859999</v>
      </c>
      <c r="Q79" s="913">
        <f t="shared" si="8"/>
        <v>0</v>
      </c>
      <c r="R79" s="11">
        <f t="shared" si="9"/>
        <v>0.29138468123</v>
      </c>
      <c r="S79" s="913">
        <f t="shared" si="10"/>
        <v>9</v>
      </c>
    </row>
    <row r="80" spans="1:19" x14ac:dyDescent="0.2">
      <c r="A80" s="11">
        <f t="shared" si="11"/>
        <v>78</v>
      </c>
      <c r="B80" s="11">
        <v>4.81700695688449</v>
      </c>
      <c r="C80" s="11"/>
      <c r="D80" s="11"/>
      <c r="E80" s="11">
        <v>0.71131484212060003</v>
      </c>
      <c r="F80" s="11"/>
      <c r="G80" s="11">
        <v>5.5283217990050897</v>
      </c>
      <c r="H80" s="11"/>
      <c r="I80" s="914">
        <f>+SUM(B81:B$501)</f>
        <v>2015.1576006276596</v>
      </c>
      <c r="J80" s="914">
        <f>+SUM(C81:C$501)</f>
        <v>487.67382709682579</v>
      </c>
      <c r="K80" s="914">
        <f t="shared" si="6"/>
        <v>2502.8314277244854</v>
      </c>
      <c r="L80" s="914">
        <f>+SUM(D81:D$501)</f>
        <v>177.09189201972788</v>
      </c>
      <c r="M80" s="914">
        <f>+SUM(E81:E$501)</f>
        <v>8972.768302530545</v>
      </c>
      <c r="N80" s="914">
        <f>+SUM(F81:F$501)</f>
        <v>25.555690517223301</v>
      </c>
      <c r="O80" s="914">
        <f>+SUM(G81:G$501)</f>
        <v>11678.247312791984</v>
      </c>
      <c r="P80" s="11">
        <f t="shared" si="7"/>
        <v>0.71131484212060003</v>
      </c>
      <c r="Q80" s="913">
        <f t="shared" si="8"/>
        <v>0</v>
      </c>
      <c r="R80" s="11">
        <f t="shared" si="9"/>
        <v>0.29138468123</v>
      </c>
      <c r="S80" s="913">
        <f t="shared" si="10"/>
        <v>8</v>
      </c>
    </row>
    <row r="81" spans="1:19" x14ac:dyDescent="0.2">
      <c r="A81" s="11">
        <f t="shared" si="11"/>
        <v>79</v>
      </c>
      <c r="B81" s="11">
        <v>4.2518183160533995</v>
      </c>
      <c r="C81" s="11"/>
      <c r="D81" s="11"/>
      <c r="E81" s="11">
        <v>1.7992698845949999</v>
      </c>
      <c r="F81" s="11"/>
      <c r="G81" s="11">
        <v>6.0510882006483993</v>
      </c>
      <c r="H81" s="11"/>
      <c r="I81" s="914">
        <f>+SUM(B82:B$501)</f>
        <v>2010.9057823116061</v>
      </c>
      <c r="J81" s="914">
        <f>+SUM(C82:C$501)</f>
        <v>487.67382709682579</v>
      </c>
      <c r="K81" s="914">
        <f t="shared" si="6"/>
        <v>2498.5796094084317</v>
      </c>
      <c r="L81" s="914">
        <f>+SUM(D82:D$501)</f>
        <v>177.09189201972788</v>
      </c>
      <c r="M81" s="914">
        <f>+SUM(E82:E$501)</f>
        <v>8970.9690326459495</v>
      </c>
      <c r="N81" s="914">
        <f>+SUM(F82:F$501)</f>
        <v>25.555690517223301</v>
      </c>
      <c r="O81" s="914">
        <f>+SUM(G82:G$501)</f>
        <v>11672.196224591335</v>
      </c>
      <c r="P81" s="11">
        <f t="shared" si="7"/>
        <v>1.7992698845949999</v>
      </c>
      <c r="Q81" s="913">
        <f t="shared" si="8"/>
        <v>0</v>
      </c>
      <c r="R81" s="11">
        <f t="shared" si="9"/>
        <v>0.29138468123</v>
      </c>
      <c r="S81" s="913">
        <f t="shared" si="10"/>
        <v>7</v>
      </c>
    </row>
    <row r="82" spans="1:19" x14ac:dyDescent="0.2">
      <c r="A82" s="11">
        <f t="shared" si="11"/>
        <v>80</v>
      </c>
      <c r="B82" s="11">
        <v>4.9585877125274997</v>
      </c>
      <c r="C82" s="11"/>
      <c r="D82" s="11"/>
      <c r="E82" s="11">
        <v>1.7575707765899999</v>
      </c>
      <c r="F82" s="11"/>
      <c r="G82" s="11">
        <v>6.7161584891174995</v>
      </c>
      <c r="H82" s="11"/>
      <c r="I82" s="914">
        <f>+SUM(B83:B$501)</f>
        <v>2005.9471945990786</v>
      </c>
      <c r="J82" s="914">
        <f>+SUM(C83:C$501)</f>
        <v>487.67382709682579</v>
      </c>
      <c r="K82" s="914">
        <f t="shared" si="6"/>
        <v>2493.6210216959043</v>
      </c>
      <c r="L82" s="914">
        <f>+SUM(D83:D$501)</f>
        <v>177.09189201972788</v>
      </c>
      <c r="M82" s="914">
        <f>+SUM(E83:E$501)</f>
        <v>8969.2114618693595</v>
      </c>
      <c r="N82" s="914">
        <f>+SUM(F83:F$501)</f>
        <v>25.555690517223301</v>
      </c>
      <c r="O82" s="914">
        <f>+SUM(G83:G$501)</f>
        <v>11665.48006610222</v>
      </c>
      <c r="P82" s="11">
        <f t="shared" si="7"/>
        <v>1.7575707765899999</v>
      </c>
      <c r="Q82" s="913">
        <f t="shared" si="8"/>
        <v>0</v>
      </c>
      <c r="R82" s="11">
        <f t="shared" si="9"/>
        <v>0.29138468123</v>
      </c>
      <c r="S82" s="913">
        <f t="shared" si="10"/>
        <v>6</v>
      </c>
    </row>
    <row r="83" spans="1:19" x14ac:dyDescent="0.2">
      <c r="A83" s="11">
        <f t="shared" si="11"/>
        <v>81</v>
      </c>
      <c r="B83" s="11">
        <v>4.687128643466</v>
      </c>
      <c r="C83" s="11"/>
      <c r="D83" s="11"/>
      <c r="E83" s="11">
        <v>2.6450046389210002</v>
      </c>
      <c r="F83" s="11"/>
      <c r="G83" s="11">
        <v>7.3321332823869998</v>
      </c>
      <c r="H83" s="11"/>
      <c r="I83" s="914">
        <f>+SUM(B84:B$501)</f>
        <v>2001.2600659556126</v>
      </c>
      <c r="J83" s="914">
        <f>+SUM(C84:C$501)</f>
        <v>487.67382709682579</v>
      </c>
      <c r="K83" s="914">
        <f t="shared" si="6"/>
        <v>2488.9338930524382</v>
      </c>
      <c r="L83" s="914">
        <f>+SUM(D84:D$501)</f>
        <v>177.09189201972788</v>
      </c>
      <c r="M83" s="914">
        <f>+SUM(E84:E$501)</f>
        <v>8966.5664572304395</v>
      </c>
      <c r="N83" s="914">
        <f>+SUM(F84:F$501)</f>
        <v>25.555690517223301</v>
      </c>
      <c r="O83" s="914">
        <f>+SUM(G84:G$501)</f>
        <v>11658.147932819833</v>
      </c>
      <c r="P83" s="11">
        <f t="shared" si="7"/>
        <v>2.6450046389210002</v>
      </c>
      <c r="Q83" s="913">
        <f t="shared" si="8"/>
        <v>0</v>
      </c>
      <c r="R83" s="11">
        <f t="shared" si="9"/>
        <v>0.29138468123</v>
      </c>
      <c r="S83" s="913">
        <f t="shared" si="10"/>
        <v>5</v>
      </c>
    </row>
    <row r="84" spans="1:19" x14ac:dyDescent="0.2">
      <c r="A84" s="11">
        <f t="shared" si="11"/>
        <v>82</v>
      </c>
      <c r="B84" s="11">
        <v>4.2568287311876993</v>
      </c>
      <c r="C84" s="11"/>
      <c r="D84" s="11"/>
      <c r="E84" s="11">
        <v>3.8469851907430002</v>
      </c>
      <c r="F84" s="11"/>
      <c r="G84" s="11">
        <v>8.1038139219306995</v>
      </c>
      <c r="H84" s="11"/>
      <c r="I84" s="914">
        <f>+SUM(B85:B$501)</f>
        <v>1997.003237224425</v>
      </c>
      <c r="J84" s="914">
        <f>+SUM(C85:C$501)</f>
        <v>487.67382709682579</v>
      </c>
      <c r="K84" s="914">
        <f t="shared" si="6"/>
        <v>2484.6770643212508</v>
      </c>
      <c r="L84" s="914">
        <f>+SUM(D85:D$501)</f>
        <v>177.09189201972788</v>
      </c>
      <c r="M84" s="914">
        <f>+SUM(E85:E$501)</f>
        <v>8962.7194720396965</v>
      </c>
      <c r="N84" s="914">
        <f>+SUM(F85:F$501)</f>
        <v>25.555690517223301</v>
      </c>
      <c r="O84" s="914">
        <f>+SUM(G85:G$501)</f>
        <v>11650.044118897902</v>
      </c>
      <c r="P84" s="11">
        <f t="shared" si="7"/>
        <v>3.8469851907430002</v>
      </c>
      <c r="Q84" s="913">
        <f t="shared" si="8"/>
        <v>0</v>
      </c>
      <c r="R84" s="11">
        <f t="shared" si="9"/>
        <v>0.29138468123</v>
      </c>
      <c r="S84" s="913">
        <f t="shared" si="10"/>
        <v>4</v>
      </c>
    </row>
    <row r="85" spans="1:19" x14ac:dyDescent="0.2">
      <c r="A85" s="11">
        <f t="shared" si="11"/>
        <v>83</v>
      </c>
      <c r="B85" s="11">
        <v>5.3262563450652003</v>
      </c>
      <c r="C85" s="11"/>
      <c r="D85" s="11"/>
      <c r="E85" s="11">
        <v>3.82460527895</v>
      </c>
      <c r="F85" s="11"/>
      <c r="G85" s="11">
        <v>9.1508616240151994</v>
      </c>
      <c r="H85" s="11"/>
      <c r="I85" s="914">
        <f>+SUM(B86:B$501)</f>
        <v>1991.6769808793599</v>
      </c>
      <c r="J85" s="914">
        <f>+SUM(C86:C$501)</f>
        <v>487.67382709682579</v>
      </c>
      <c r="K85" s="914">
        <f t="shared" si="6"/>
        <v>2479.3508079761859</v>
      </c>
      <c r="L85" s="914">
        <f>+SUM(D86:D$501)</f>
        <v>177.09189201972788</v>
      </c>
      <c r="M85" s="914">
        <f>+SUM(E86:E$501)</f>
        <v>8958.8948667607456</v>
      </c>
      <c r="N85" s="914">
        <f>+SUM(F86:F$501)</f>
        <v>25.555690517223301</v>
      </c>
      <c r="O85" s="914">
        <f>+SUM(G86:G$501)</f>
        <v>11640.893257273885</v>
      </c>
      <c r="P85" s="11">
        <f t="shared" si="7"/>
        <v>3.82460527895</v>
      </c>
      <c r="Q85" s="913">
        <f t="shared" si="8"/>
        <v>0</v>
      </c>
      <c r="R85" s="11">
        <f t="shared" si="9"/>
        <v>0.29138468123</v>
      </c>
      <c r="S85" s="913">
        <f t="shared" si="10"/>
        <v>3</v>
      </c>
    </row>
    <row r="86" spans="1:19" x14ac:dyDescent="0.2">
      <c r="A86" s="11">
        <f t="shared" si="11"/>
        <v>84</v>
      </c>
      <c r="B86" s="11">
        <v>6.1624595943747007</v>
      </c>
      <c r="C86" s="11"/>
      <c r="D86" s="11"/>
      <c r="E86" s="11">
        <v>4.1178395780299999</v>
      </c>
      <c r="F86" s="11"/>
      <c r="G86" s="11">
        <v>10.2802991724047</v>
      </c>
      <c r="H86" s="11"/>
      <c r="I86" s="914">
        <f>+SUM(B87:B$501)</f>
        <v>1985.5145212849852</v>
      </c>
      <c r="J86" s="914">
        <f>+SUM(C87:C$501)</f>
        <v>487.67382709682579</v>
      </c>
      <c r="K86" s="914">
        <f t="shared" si="6"/>
        <v>2473.188348381811</v>
      </c>
      <c r="L86" s="914">
        <f>+SUM(D87:D$501)</f>
        <v>177.09189201972788</v>
      </c>
      <c r="M86" s="914">
        <f>+SUM(E87:E$501)</f>
        <v>8954.7770271827176</v>
      </c>
      <c r="N86" s="914">
        <f>+SUM(F87:F$501)</f>
        <v>25.555690517223301</v>
      </c>
      <c r="O86" s="914">
        <f>+SUM(G87:G$501)</f>
        <v>11630.612958101479</v>
      </c>
      <c r="P86" s="11">
        <f t="shared" si="7"/>
        <v>4.1178395780299999</v>
      </c>
      <c r="Q86" s="913">
        <f t="shared" si="8"/>
        <v>0</v>
      </c>
      <c r="R86" s="11">
        <f t="shared" si="9"/>
        <v>0.29138468123</v>
      </c>
      <c r="S86" s="913">
        <f t="shared" si="10"/>
        <v>2</v>
      </c>
    </row>
    <row r="87" spans="1:19" x14ac:dyDescent="0.2">
      <c r="A87" s="11">
        <f t="shared" si="11"/>
        <v>85</v>
      </c>
      <c r="B87" s="11">
        <v>8.3368043352169998</v>
      </c>
      <c r="C87" s="11"/>
      <c r="D87" s="11"/>
      <c r="E87" s="11">
        <v>3.2729089989700002</v>
      </c>
      <c r="F87" s="11"/>
      <c r="G87" s="11">
        <v>11.609713334186999</v>
      </c>
      <c r="H87" s="11"/>
      <c r="I87" s="914">
        <f>+SUM(B88:B$501)</f>
        <v>1977.177716949768</v>
      </c>
      <c r="J87" s="914">
        <f>+SUM(C88:C$501)</f>
        <v>487.67382709682579</v>
      </c>
      <c r="K87" s="914">
        <f t="shared" si="6"/>
        <v>2464.8515440465935</v>
      </c>
      <c r="L87" s="914">
        <f>+SUM(D88:D$501)</f>
        <v>177.09189201972788</v>
      </c>
      <c r="M87" s="914">
        <f>+SUM(E88:E$501)</f>
        <v>8951.5041181837478</v>
      </c>
      <c r="N87" s="914">
        <f>+SUM(F88:F$501)</f>
        <v>25.555690517223301</v>
      </c>
      <c r="O87" s="914">
        <f>+SUM(G88:G$501)</f>
        <v>11619.003244767297</v>
      </c>
      <c r="P87" s="11">
        <f t="shared" si="7"/>
        <v>3.2729089989700002</v>
      </c>
      <c r="Q87" s="913">
        <f t="shared" si="8"/>
        <v>0</v>
      </c>
      <c r="R87" s="11">
        <f t="shared" si="9"/>
        <v>0.29138468123</v>
      </c>
      <c r="S87" s="913">
        <f t="shared" si="10"/>
        <v>1</v>
      </c>
    </row>
    <row r="88" spans="1:19" x14ac:dyDescent="0.2">
      <c r="A88" s="11">
        <f t="shared" si="11"/>
        <v>86</v>
      </c>
      <c r="B88" s="11">
        <v>10.019726737387</v>
      </c>
      <c r="C88" s="11"/>
      <c r="D88" s="11"/>
      <c r="E88" s="11">
        <v>2.5437446343699999</v>
      </c>
      <c r="F88" s="11">
        <v>0.29138468123</v>
      </c>
      <c r="G88" s="11">
        <v>12.854856052987</v>
      </c>
      <c r="H88" s="11"/>
      <c r="I88" s="914">
        <f>+SUM(B89:B$501)</f>
        <v>1967.157990212381</v>
      </c>
      <c r="J88" s="914">
        <f>+SUM(C89:C$501)</f>
        <v>487.67382709682579</v>
      </c>
      <c r="K88" s="914">
        <f t="shared" si="6"/>
        <v>2454.8318173092066</v>
      </c>
      <c r="L88" s="914">
        <f>+SUM(D89:D$501)</f>
        <v>177.09189201972788</v>
      </c>
      <c r="M88" s="914">
        <f>+SUM(E89:E$501)</f>
        <v>8948.9603735493783</v>
      </c>
      <c r="N88" s="914">
        <f>+SUM(F89:F$501)</f>
        <v>25.264305835993301</v>
      </c>
      <c r="O88" s="914">
        <f>+SUM(G89:G$501)</f>
        <v>11606.148388714308</v>
      </c>
      <c r="P88" s="11">
        <f t="shared" si="7"/>
        <v>2.5437446343699999</v>
      </c>
      <c r="Q88" s="913">
        <f t="shared" si="8"/>
        <v>0</v>
      </c>
      <c r="R88" s="11">
        <f t="shared" si="9"/>
        <v>0.29138468123</v>
      </c>
      <c r="S88" s="913">
        <f t="shared" si="10"/>
        <v>0</v>
      </c>
    </row>
    <row r="89" spans="1:19" x14ac:dyDescent="0.2">
      <c r="A89" s="11">
        <f t="shared" si="11"/>
        <v>87</v>
      </c>
      <c r="B89" s="11">
        <v>7.662192003056</v>
      </c>
      <c r="C89" s="11"/>
      <c r="D89" s="11"/>
      <c r="E89" s="11">
        <v>3.53261310753</v>
      </c>
      <c r="F89" s="11">
        <v>2.52563349915</v>
      </c>
      <c r="G89" s="11">
        <v>13.720438609736</v>
      </c>
      <c r="H89" s="11"/>
      <c r="I89" s="914">
        <f>+SUM(B90:B$501)</f>
        <v>1959.4957982093251</v>
      </c>
      <c r="J89" s="914">
        <f>+SUM(C90:C$501)</f>
        <v>487.67382709682579</v>
      </c>
      <c r="K89" s="914">
        <f t="shared" si="6"/>
        <v>2447.1696253061509</v>
      </c>
      <c r="L89" s="914">
        <f>+SUM(D90:D$501)</f>
        <v>177.09189201972788</v>
      </c>
      <c r="M89" s="914">
        <f>+SUM(E90:E$501)</f>
        <v>8945.4277604418476</v>
      </c>
      <c r="N89" s="914">
        <f>+SUM(F90:F$501)</f>
        <v>22.738672336843297</v>
      </c>
      <c r="O89" s="914">
        <f>+SUM(G90:G$501)</f>
        <v>11592.427950104571</v>
      </c>
      <c r="P89" s="11">
        <f t="shared" si="7"/>
        <v>3.53261310753</v>
      </c>
      <c r="Q89" s="913">
        <f t="shared" si="8"/>
        <v>0</v>
      </c>
      <c r="R89" s="11">
        <f t="shared" si="9"/>
        <v>2.52563349915</v>
      </c>
      <c r="S89" s="913">
        <f t="shared" si="10"/>
        <v>0</v>
      </c>
    </row>
    <row r="90" spans="1:19" x14ac:dyDescent="0.2">
      <c r="A90" s="11">
        <f t="shared" si="11"/>
        <v>88</v>
      </c>
      <c r="B90" s="11">
        <v>6.7710815833303011</v>
      </c>
      <c r="C90" s="11"/>
      <c r="D90" s="11"/>
      <c r="E90" s="11">
        <v>4.6597446860799998</v>
      </c>
      <c r="F90" s="11">
        <v>3.2853266479659999</v>
      </c>
      <c r="G90" s="11">
        <v>14.7161529173763</v>
      </c>
      <c r="H90" s="11"/>
      <c r="I90" s="914">
        <f>+SUM(B91:B$501)</f>
        <v>1952.7247166259949</v>
      </c>
      <c r="J90" s="914">
        <f>+SUM(C91:C$501)</f>
        <v>487.67382709682579</v>
      </c>
      <c r="K90" s="914">
        <f t="shared" si="6"/>
        <v>2440.3985437228207</v>
      </c>
      <c r="L90" s="914">
        <f>+SUM(D91:D$501)</f>
        <v>177.09189201972788</v>
      </c>
      <c r="M90" s="914">
        <f>+SUM(E91:E$501)</f>
        <v>8940.7680157557679</v>
      </c>
      <c r="N90" s="914">
        <f>+SUM(F91:F$501)</f>
        <v>19.453345688877299</v>
      </c>
      <c r="O90" s="914">
        <f>+SUM(G91:G$501)</f>
        <v>11577.711797187192</v>
      </c>
      <c r="P90" s="11">
        <f t="shared" si="7"/>
        <v>4.6597446860799998</v>
      </c>
      <c r="Q90" s="913">
        <f t="shared" si="8"/>
        <v>0</v>
      </c>
      <c r="R90" s="11">
        <f t="shared" si="9"/>
        <v>3.2853266479659999</v>
      </c>
      <c r="S90" s="913">
        <f t="shared" si="10"/>
        <v>0</v>
      </c>
    </row>
    <row r="91" spans="1:19" x14ac:dyDescent="0.2">
      <c r="A91" s="11">
        <f t="shared" si="11"/>
        <v>89</v>
      </c>
      <c r="B91" s="11">
        <v>8.6443599122839991</v>
      </c>
      <c r="C91" s="11"/>
      <c r="D91" s="11"/>
      <c r="E91" s="11">
        <v>4.6075105392599998</v>
      </c>
      <c r="F91" s="11">
        <v>2.3178381552419998</v>
      </c>
      <c r="G91" s="11">
        <v>15.569708606785998</v>
      </c>
      <c r="H91" s="11"/>
      <c r="I91" s="914">
        <f>+SUM(B92:B$501)</f>
        <v>1944.0803567137111</v>
      </c>
      <c r="J91" s="914">
        <f>+SUM(C92:C$501)</f>
        <v>487.67382709682579</v>
      </c>
      <c r="K91" s="914">
        <f t="shared" si="6"/>
        <v>2431.7541838105371</v>
      </c>
      <c r="L91" s="914">
        <f>+SUM(D92:D$501)</f>
        <v>177.09189201972788</v>
      </c>
      <c r="M91" s="914">
        <f>+SUM(E92:E$501)</f>
        <v>8936.1605052165069</v>
      </c>
      <c r="N91" s="914">
        <f>+SUM(F92:F$501)</f>
        <v>17.135507533635302</v>
      </c>
      <c r="O91" s="914">
        <f>+SUM(G92:G$501)</f>
        <v>11562.142088580407</v>
      </c>
      <c r="P91" s="11">
        <f t="shared" si="7"/>
        <v>4.6075105392599998</v>
      </c>
      <c r="Q91" s="913">
        <f t="shared" si="8"/>
        <v>0</v>
      </c>
      <c r="R91" s="11">
        <f t="shared" si="9"/>
        <v>2.3178381552419998</v>
      </c>
      <c r="S91" s="913">
        <f t="shared" si="10"/>
        <v>0</v>
      </c>
    </row>
    <row r="92" spans="1:19" x14ac:dyDescent="0.2">
      <c r="A92" s="11">
        <f t="shared" si="11"/>
        <v>90</v>
      </c>
      <c r="B92" s="11">
        <v>12.076871459406144</v>
      </c>
      <c r="C92" s="11"/>
      <c r="D92" s="11"/>
      <c r="E92" s="11">
        <v>3.6587153085400002</v>
      </c>
      <c r="F92" s="11">
        <v>0.91268981954200001</v>
      </c>
      <c r="G92" s="11">
        <v>16.648276587488144</v>
      </c>
      <c r="H92" s="11"/>
      <c r="I92" s="914">
        <f>+SUM(B93:B$501)</f>
        <v>1932.0034852543049</v>
      </c>
      <c r="J92" s="914">
        <f>+SUM(C93:C$501)</f>
        <v>487.67382709682579</v>
      </c>
      <c r="K92" s="914">
        <f t="shared" si="6"/>
        <v>2419.6773123511307</v>
      </c>
      <c r="L92" s="914">
        <f>+SUM(D93:D$501)</f>
        <v>177.09189201972788</v>
      </c>
      <c r="M92" s="914">
        <f>+SUM(E93:E$501)</f>
        <v>8932.5017899079667</v>
      </c>
      <c r="N92" s="914">
        <f>+SUM(F93:F$501)</f>
        <v>16.222817714093303</v>
      </c>
      <c r="O92" s="914">
        <f>+SUM(G93:G$501)</f>
        <v>11545.493811992921</v>
      </c>
      <c r="P92" s="11">
        <f t="shared" si="7"/>
        <v>3.6587153085400002</v>
      </c>
      <c r="Q92" s="913">
        <f t="shared" si="8"/>
        <v>0</v>
      </c>
      <c r="R92" s="11">
        <f t="shared" si="9"/>
        <v>0.91268981954200001</v>
      </c>
      <c r="S92" s="913">
        <f t="shared" si="10"/>
        <v>0</v>
      </c>
    </row>
    <row r="93" spans="1:19" x14ac:dyDescent="0.2">
      <c r="A93" s="11">
        <f t="shared" si="11"/>
        <v>91</v>
      </c>
      <c r="B93" s="11">
        <v>15.118213430460095</v>
      </c>
      <c r="C93" s="11"/>
      <c r="D93" s="11"/>
      <c r="E93" s="11">
        <v>2.8836991617200001</v>
      </c>
      <c r="F93" s="11"/>
      <c r="G93" s="11">
        <v>18.001912592180094</v>
      </c>
      <c r="H93" s="11"/>
      <c r="I93" s="914">
        <f>+SUM(B94:B$501)</f>
        <v>1916.885271823845</v>
      </c>
      <c r="J93" s="914">
        <f>+SUM(C94:C$501)</f>
        <v>487.67382709682579</v>
      </c>
      <c r="K93" s="914">
        <f t="shared" si="6"/>
        <v>2404.5590989206707</v>
      </c>
      <c r="L93" s="914">
        <f>+SUM(D94:D$501)</f>
        <v>177.09189201972788</v>
      </c>
      <c r="M93" s="914">
        <f>+SUM(E94:E$501)</f>
        <v>8929.6180907462476</v>
      </c>
      <c r="N93" s="914">
        <f>+SUM(F94:F$501)</f>
        <v>16.222817714093303</v>
      </c>
      <c r="O93" s="914">
        <f>+SUM(G94:G$501)</f>
        <v>11527.491899400738</v>
      </c>
      <c r="P93" s="11">
        <f t="shared" si="7"/>
        <v>2.8836991617200001</v>
      </c>
      <c r="Q93" s="913">
        <f t="shared" si="8"/>
        <v>0</v>
      </c>
      <c r="R93" s="11">
        <f t="shared" si="9"/>
        <v>1.6900169761500002E-2</v>
      </c>
      <c r="S93" s="913">
        <f t="shared" si="10"/>
        <v>155</v>
      </c>
    </row>
    <row r="94" spans="1:19" x14ac:dyDescent="0.2">
      <c r="A94" s="11">
        <f t="shared" si="11"/>
        <v>92</v>
      </c>
      <c r="B94" s="11">
        <v>17.235048527501949</v>
      </c>
      <c r="C94" s="11"/>
      <c r="D94" s="11"/>
      <c r="E94" s="11">
        <v>2.4771389959399999</v>
      </c>
      <c r="F94" s="11"/>
      <c r="G94" s="11">
        <v>19.712187523441948</v>
      </c>
      <c r="H94" s="11"/>
      <c r="I94" s="914">
        <f>+SUM(B95:B$501)</f>
        <v>1899.6502232963428</v>
      </c>
      <c r="J94" s="914">
        <f>+SUM(C95:C$501)</f>
        <v>487.67382709682579</v>
      </c>
      <c r="K94" s="914">
        <f t="shared" si="6"/>
        <v>2387.3240503931684</v>
      </c>
      <c r="L94" s="914">
        <f>+SUM(D95:D$501)</f>
        <v>177.09189201972788</v>
      </c>
      <c r="M94" s="914">
        <f>+SUM(E95:E$501)</f>
        <v>8927.1409517503071</v>
      </c>
      <c r="N94" s="914">
        <f>+SUM(F95:F$501)</f>
        <v>16.222817714093303</v>
      </c>
      <c r="O94" s="914">
        <f>+SUM(G95:G$501)</f>
        <v>11507.779711877298</v>
      </c>
      <c r="P94" s="11">
        <f t="shared" si="7"/>
        <v>2.4771389959399999</v>
      </c>
      <c r="Q94" s="913">
        <f t="shared" si="8"/>
        <v>0</v>
      </c>
      <c r="R94" s="11">
        <f t="shared" si="9"/>
        <v>1.6900169761500002E-2</v>
      </c>
      <c r="S94" s="913">
        <f t="shared" si="10"/>
        <v>154</v>
      </c>
    </row>
    <row r="95" spans="1:19" x14ac:dyDescent="0.2">
      <c r="A95" s="11">
        <f t="shared" si="11"/>
        <v>93</v>
      </c>
      <c r="B95" s="11">
        <v>18.557558933111473</v>
      </c>
      <c r="C95" s="11"/>
      <c r="D95" s="11"/>
      <c r="E95" s="11">
        <v>2.8391692802100001</v>
      </c>
      <c r="F95" s="11"/>
      <c r="G95" s="11">
        <v>21.396728213321474</v>
      </c>
      <c r="H95" s="11"/>
      <c r="I95" s="914">
        <f>+SUM(B96:B$501)</f>
        <v>1881.0926643632315</v>
      </c>
      <c r="J95" s="914">
        <f>+SUM(C96:C$501)</f>
        <v>487.67382709682579</v>
      </c>
      <c r="K95" s="914">
        <f t="shared" si="6"/>
        <v>2368.7664914600573</v>
      </c>
      <c r="L95" s="914">
        <f>+SUM(D96:D$501)</f>
        <v>177.09189201972788</v>
      </c>
      <c r="M95" s="914">
        <f>+SUM(E96:E$501)</f>
        <v>8924.3017824700983</v>
      </c>
      <c r="N95" s="914">
        <f>+SUM(F96:F$501)</f>
        <v>16.222817714093303</v>
      </c>
      <c r="O95" s="914">
        <f>+SUM(G96:G$501)</f>
        <v>11486.382983663978</v>
      </c>
      <c r="P95" s="11">
        <f t="shared" si="7"/>
        <v>2.8391692802100001</v>
      </c>
      <c r="Q95" s="913">
        <f t="shared" si="8"/>
        <v>0</v>
      </c>
      <c r="R95" s="11">
        <f t="shared" si="9"/>
        <v>1.6900169761500002E-2</v>
      </c>
      <c r="S95" s="913">
        <f t="shared" si="10"/>
        <v>153</v>
      </c>
    </row>
    <row r="96" spans="1:19" x14ac:dyDescent="0.2">
      <c r="A96" s="11">
        <f t="shared" si="11"/>
        <v>94</v>
      </c>
      <c r="B96" s="11">
        <v>18.61894675418986</v>
      </c>
      <c r="C96" s="11"/>
      <c r="D96" s="11"/>
      <c r="E96" s="11">
        <v>3.28957625936</v>
      </c>
      <c r="F96" s="11"/>
      <c r="G96" s="11">
        <v>21.908523013549861</v>
      </c>
      <c r="H96" s="11"/>
      <c r="I96" s="914">
        <f>+SUM(B97:B$501)</f>
        <v>1862.4737176090412</v>
      </c>
      <c r="J96" s="914">
        <f>+SUM(C97:C$501)</f>
        <v>487.67382709682579</v>
      </c>
      <c r="K96" s="914">
        <f t="shared" si="6"/>
        <v>2350.1475447058669</v>
      </c>
      <c r="L96" s="914">
        <f>+SUM(D97:D$501)</f>
        <v>177.09189201972788</v>
      </c>
      <c r="M96" s="914">
        <f>+SUM(E97:E$501)</f>
        <v>8921.0122062107366</v>
      </c>
      <c r="N96" s="914">
        <f>+SUM(F97:F$501)</f>
        <v>16.222817714093303</v>
      </c>
      <c r="O96" s="914">
        <f>+SUM(G97:G$501)</f>
        <v>11464.474460650428</v>
      </c>
      <c r="P96" s="11">
        <f t="shared" si="7"/>
        <v>3.28957625936</v>
      </c>
      <c r="Q96" s="913">
        <f t="shared" si="8"/>
        <v>0</v>
      </c>
      <c r="R96" s="11">
        <f t="shared" si="9"/>
        <v>1.6900169761500002E-2</v>
      </c>
      <c r="S96" s="913">
        <f t="shared" si="10"/>
        <v>152</v>
      </c>
    </row>
    <row r="97" spans="1:19" x14ac:dyDescent="0.2">
      <c r="A97" s="11">
        <f t="shared" si="11"/>
        <v>95</v>
      </c>
      <c r="B97" s="11">
        <v>17.784838904427112</v>
      </c>
      <c r="C97" s="11"/>
      <c r="D97" s="11"/>
      <c r="E97" s="11">
        <v>3.8138271169000002</v>
      </c>
      <c r="F97" s="11"/>
      <c r="G97" s="11">
        <v>21.598666021327112</v>
      </c>
      <c r="H97" s="11"/>
      <c r="I97" s="914">
        <f>+SUM(B98:B$501)</f>
        <v>1844.6888787046141</v>
      </c>
      <c r="J97" s="914">
        <f>+SUM(C98:C$501)</f>
        <v>487.67382709682579</v>
      </c>
      <c r="K97" s="914">
        <f t="shared" si="6"/>
        <v>2332.3627058014399</v>
      </c>
      <c r="L97" s="914">
        <f>+SUM(D98:D$501)</f>
        <v>177.09189201972788</v>
      </c>
      <c r="M97" s="914">
        <f>+SUM(E98:E$501)</f>
        <v>8917.1983790938375</v>
      </c>
      <c r="N97" s="914">
        <f>+SUM(F98:F$501)</f>
        <v>16.222817714093303</v>
      </c>
      <c r="O97" s="914">
        <f>+SUM(G98:G$501)</f>
        <v>11442.875794629101</v>
      </c>
      <c r="P97" s="11">
        <f t="shared" si="7"/>
        <v>3.8138271169000002</v>
      </c>
      <c r="Q97" s="913">
        <f t="shared" si="8"/>
        <v>0</v>
      </c>
      <c r="R97" s="11">
        <f t="shared" si="9"/>
        <v>1.6900169761500002E-2</v>
      </c>
      <c r="S97" s="913">
        <f t="shared" si="10"/>
        <v>151</v>
      </c>
    </row>
    <row r="98" spans="1:19" x14ac:dyDescent="0.2">
      <c r="A98" s="11">
        <f t="shared" si="11"/>
        <v>96</v>
      </c>
      <c r="B98" s="11">
        <v>16.8200640843881</v>
      </c>
      <c r="C98" s="11"/>
      <c r="D98" s="11"/>
      <c r="E98" s="11">
        <v>4.5321761512699998</v>
      </c>
      <c r="F98" s="11"/>
      <c r="G98" s="11">
        <v>21.352240235658101</v>
      </c>
      <c r="H98" s="11"/>
      <c r="I98" s="914">
        <f>+SUM(B99:B$501)</f>
        <v>1827.8688146202262</v>
      </c>
      <c r="J98" s="914">
        <f>+SUM(C99:C$501)</f>
        <v>487.67382709682579</v>
      </c>
      <c r="K98" s="914">
        <f t="shared" si="6"/>
        <v>2315.542641717052</v>
      </c>
      <c r="L98" s="914">
        <f>+SUM(D99:D$501)</f>
        <v>177.09189201972788</v>
      </c>
      <c r="M98" s="914">
        <f>+SUM(E99:E$501)</f>
        <v>8912.6662029425679</v>
      </c>
      <c r="N98" s="914">
        <f>+SUM(F99:F$501)</f>
        <v>16.222817714093303</v>
      </c>
      <c r="O98" s="914">
        <f>+SUM(G99:G$501)</f>
        <v>11421.52355439344</v>
      </c>
      <c r="P98" s="11">
        <f t="shared" si="7"/>
        <v>4.5321761512699998</v>
      </c>
      <c r="Q98" s="913">
        <f t="shared" si="8"/>
        <v>0</v>
      </c>
      <c r="R98" s="11">
        <f t="shared" si="9"/>
        <v>1.6900169761500002E-2</v>
      </c>
      <c r="S98" s="913">
        <f t="shared" si="10"/>
        <v>150</v>
      </c>
    </row>
    <row r="99" spans="1:19" x14ac:dyDescent="0.2">
      <c r="A99" s="11">
        <f t="shared" si="11"/>
        <v>97</v>
      </c>
      <c r="B99" s="11">
        <v>16.238934009240609</v>
      </c>
      <c r="C99" s="11"/>
      <c r="D99" s="11"/>
      <c r="E99" s="11">
        <v>5.2307484649270002</v>
      </c>
      <c r="F99" s="11"/>
      <c r="G99" s="11">
        <v>21.469682474167609</v>
      </c>
      <c r="H99" s="11"/>
      <c r="I99" s="914">
        <f>+SUM(B100:B$501)</f>
        <v>1811.6298806109853</v>
      </c>
      <c r="J99" s="914">
        <f>+SUM(C100:C$501)</f>
        <v>487.67382709682579</v>
      </c>
      <c r="K99" s="914">
        <f t="shared" si="6"/>
        <v>2299.3037077078111</v>
      </c>
      <c r="L99" s="914">
        <f>+SUM(D100:D$501)</f>
        <v>177.09189201972788</v>
      </c>
      <c r="M99" s="914">
        <f>+SUM(E100:E$501)</f>
        <v>8907.4354544776397</v>
      </c>
      <c r="N99" s="914">
        <f>+SUM(F100:F$501)</f>
        <v>16.222817714093303</v>
      </c>
      <c r="O99" s="914">
        <f>+SUM(G100:G$501)</f>
        <v>11400.053871919274</v>
      </c>
      <c r="P99" s="11">
        <f t="shared" si="7"/>
        <v>5.2307484649270002</v>
      </c>
      <c r="Q99" s="913">
        <f t="shared" si="8"/>
        <v>0</v>
      </c>
      <c r="R99" s="11">
        <f t="shared" si="9"/>
        <v>1.6900169761500002E-2</v>
      </c>
      <c r="S99" s="913">
        <f t="shared" si="10"/>
        <v>149</v>
      </c>
    </row>
    <row r="100" spans="1:19" x14ac:dyDescent="0.2">
      <c r="A100" s="11">
        <f t="shared" si="11"/>
        <v>98</v>
      </c>
      <c r="B100" s="11">
        <v>16.056155658624299</v>
      </c>
      <c r="C100" s="11"/>
      <c r="D100" s="11"/>
      <c r="E100" s="11">
        <v>5.1896361245711002</v>
      </c>
      <c r="F100" s="11"/>
      <c r="G100" s="11">
        <v>21.245791783195401</v>
      </c>
      <c r="H100" s="11"/>
      <c r="I100" s="914">
        <f>+SUM(B101:B$501)</f>
        <v>1795.5737249523609</v>
      </c>
      <c r="J100" s="914">
        <f>+SUM(C101:C$501)</f>
        <v>487.67382709682579</v>
      </c>
      <c r="K100" s="914">
        <f t="shared" si="6"/>
        <v>2283.2475520491867</v>
      </c>
      <c r="L100" s="914">
        <f>+SUM(D101:D$501)</f>
        <v>177.09189201972788</v>
      </c>
      <c r="M100" s="914">
        <f>+SUM(E101:E$501)</f>
        <v>8902.2458183530707</v>
      </c>
      <c r="N100" s="914">
        <f>+SUM(F101:F$501)</f>
        <v>16.222817714093303</v>
      </c>
      <c r="O100" s="914">
        <f>+SUM(G101:G$501)</f>
        <v>11378.808080136077</v>
      </c>
      <c r="P100" s="11">
        <f t="shared" si="7"/>
        <v>5.1896361245711002</v>
      </c>
      <c r="Q100" s="913">
        <f t="shared" si="8"/>
        <v>0</v>
      </c>
      <c r="R100" s="11">
        <f t="shared" si="9"/>
        <v>1.6900169761500002E-2</v>
      </c>
      <c r="S100" s="913">
        <f t="shared" si="10"/>
        <v>148</v>
      </c>
    </row>
    <row r="101" spans="1:19" x14ac:dyDescent="0.2">
      <c r="A101" s="11">
        <f t="shared" si="11"/>
        <v>99</v>
      </c>
      <c r="B101" s="11">
        <v>15.27732693520384</v>
      </c>
      <c r="C101" s="11"/>
      <c r="D101" s="11"/>
      <c r="E101" s="11">
        <v>4.7784324432770005</v>
      </c>
      <c r="F101" s="11"/>
      <c r="G101" s="11">
        <v>20.05575937848084</v>
      </c>
      <c r="H101" s="11"/>
      <c r="I101" s="914">
        <f>+SUM(B102:B$501)</f>
        <v>1780.2963980171569</v>
      </c>
      <c r="J101" s="914">
        <f>+SUM(C102:C$501)</f>
        <v>487.67382709682579</v>
      </c>
      <c r="K101" s="914">
        <f t="shared" si="6"/>
        <v>2267.9702251139825</v>
      </c>
      <c r="L101" s="914">
        <f>+SUM(D102:D$501)</f>
        <v>177.09189201972788</v>
      </c>
      <c r="M101" s="914">
        <f>+SUM(E102:E$501)</f>
        <v>8897.4673859097929</v>
      </c>
      <c r="N101" s="914">
        <f>+SUM(F102:F$501)</f>
        <v>16.222817714093303</v>
      </c>
      <c r="O101" s="914">
        <f>+SUM(G102:G$501)</f>
        <v>11358.752320757598</v>
      </c>
      <c r="P101" s="11">
        <f t="shared" si="7"/>
        <v>4.7784324432770005</v>
      </c>
      <c r="Q101" s="913">
        <f t="shared" si="8"/>
        <v>0</v>
      </c>
      <c r="R101" s="11">
        <f t="shared" si="9"/>
        <v>1.6900169761500002E-2</v>
      </c>
      <c r="S101" s="913">
        <f t="shared" si="10"/>
        <v>147</v>
      </c>
    </row>
    <row r="102" spans="1:19" x14ac:dyDescent="0.2">
      <c r="A102" s="11">
        <f t="shared" si="11"/>
        <v>100</v>
      </c>
      <c r="B102" s="11">
        <v>11.8028880798306</v>
      </c>
      <c r="C102" s="11"/>
      <c r="D102" s="11"/>
      <c r="E102" s="11">
        <v>6.0294873894230596</v>
      </c>
      <c r="F102" s="11"/>
      <c r="G102" s="11">
        <v>17.832375469253659</v>
      </c>
      <c r="H102" s="11"/>
      <c r="I102" s="914">
        <f>+SUM(B103:B$501)</f>
        <v>1768.4935099373263</v>
      </c>
      <c r="J102" s="914">
        <f>+SUM(C103:C$501)</f>
        <v>487.67382709682579</v>
      </c>
      <c r="K102" s="914">
        <f t="shared" si="6"/>
        <v>2256.1673370341523</v>
      </c>
      <c r="L102" s="914">
        <f>+SUM(D103:D$501)</f>
        <v>177.09189201972788</v>
      </c>
      <c r="M102" s="914">
        <f>+SUM(E103:E$501)</f>
        <v>8891.4378985203712</v>
      </c>
      <c r="N102" s="914">
        <f>+SUM(F103:F$501)</f>
        <v>16.222817714093303</v>
      </c>
      <c r="O102" s="914">
        <f>+SUM(G103:G$501)</f>
        <v>11340.919945288344</v>
      </c>
      <c r="P102" s="11">
        <f t="shared" si="7"/>
        <v>6.0294873894230596</v>
      </c>
      <c r="Q102" s="913">
        <f t="shared" si="8"/>
        <v>0</v>
      </c>
      <c r="R102" s="11">
        <f t="shared" si="9"/>
        <v>1.6900169761500002E-2</v>
      </c>
      <c r="S102" s="913">
        <f t="shared" si="10"/>
        <v>146</v>
      </c>
    </row>
    <row r="103" spans="1:19" x14ac:dyDescent="0.2">
      <c r="A103" s="11">
        <f t="shared" si="11"/>
        <v>101</v>
      </c>
      <c r="B103" s="11">
        <v>8.2034112974363005</v>
      </c>
      <c r="C103" s="11"/>
      <c r="D103" s="11"/>
      <c r="E103" s="11">
        <v>6.2253906800500003</v>
      </c>
      <c r="F103" s="11"/>
      <c r="G103" s="11">
        <v>14.428801977486302</v>
      </c>
      <c r="H103" s="11"/>
      <c r="I103" s="914">
        <f>+SUM(B104:B$501)</f>
        <v>1760.2900986398902</v>
      </c>
      <c r="J103" s="914">
        <f>+SUM(C104:C$501)</f>
        <v>487.67382709682579</v>
      </c>
      <c r="K103" s="914">
        <f t="shared" si="6"/>
        <v>2247.9639257367162</v>
      </c>
      <c r="L103" s="914">
        <f>+SUM(D104:D$501)</f>
        <v>177.09189201972788</v>
      </c>
      <c r="M103" s="914">
        <f>+SUM(E104:E$501)</f>
        <v>8885.2125078403205</v>
      </c>
      <c r="N103" s="914">
        <f>+SUM(F104:F$501)</f>
        <v>16.222817714093303</v>
      </c>
      <c r="O103" s="914">
        <f>+SUM(G104:G$501)</f>
        <v>11326.491143310857</v>
      </c>
      <c r="P103" s="11">
        <f t="shared" si="7"/>
        <v>6.2253906800500003</v>
      </c>
      <c r="Q103" s="913">
        <f t="shared" si="8"/>
        <v>0</v>
      </c>
      <c r="R103" s="11">
        <f t="shared" si="9"/>
        <v>1.6900169761500002E-2</v>
      </c>
      <c r="S103" s="913">
        <f t="shared" si="10"/>
        <v>145</v>
      </c>
    </row>
    <row r="104" spans="1:19" x14ac:dyDescent="0.2">
      <c r="A104" s="11">
        <f t="shared" si="11"/>
        <v>102</v>
      </c>
      <c r="B104" s="11">
        <v>3.7125467359814999</v>
      </c>
      <c r="C104" s="11"/>
      <c r="D104" s="11"/>
      <c r="E104" s="11">
        <v>7.3714592447100005</v>
      </c>
      <c r="F104" s="11"/>
      <c r="G104" s="11">
        <v>11.084005980691501</v>
      </c>
      <c r="H104" s="11"/>
      <c r="I104" s="914">
        <f>+SUM(B105:B$501)</f>
        <v>1756.5775519039087</v>
      </c>
      <c r="J104" s="914">
        <f>+SUM(C105:C$501)</f>
        <v>487.67382709682579</v>
      </c>
      <c r="K104" s="914">
        <f t="shared" si="6"/>
        <v>2244.2513790007342</v>
      </c>
      <c r="L104" s="914">
        <f>+SUM(D105:D$501)</f>
        <v>177.09189201972788</v>
      </c>
      <c r="M104" s="914">
        <f>+SUM(E105:E$501)</f>
        <v>8877.8410485956101</v>
      </c>
      <c r="N104" s="914">
        <f>+SUM(F105:F$501)</f>
        <v>16.222817714093303</v>
      </c>
      <c r="O104" s="914">
        <f>+SUM(G105:G$501)</f>
        <v>11315.407137330167</v>
      </c>
      <c r="P104" s="11">
        <f t="shared" si="7"/>
        <v>7.3714592447100005</v>
      </c>
      <c r="Q104" s="913">
        <f t="shared" si="8"/>
        <v>0</v>
      </c>
      <c r="R104" s="11">
        <f t="shared" si="9"/>
        <v>1.6900169761500002E-2</v>
      </c>
      <c r="S104" s="913">
        <f t="shared" si="10"/>
        <v>144</v>
      </c>
    </row>
    <row r="105" spans="1:19" x14ac:dyDescent="0.2">
      <c r="A105" s="11">
        <f t="shared" si="11"/>
        <v>103</v>
      </c>
      <c r="B105" s="11">
        <v>2.8224288190265923</v>
      </c>
      <c r="C105" s="11"/>
      <c r="D105" s="11"/>
      <c r="E105" s="11">
        <v>5.8599190403041996</v>
      </c>
      <c r="F105" s="11"/>
      <c r="G105" s="11">
        <v>8.6823478593307915</v>
      </c>
      <c r="H105" s="11"/>
      <c r="I105" s="914">
        <f>+SUM(B106:B$501)</f>
        <v>1753.7551230848819</v>
      </c>
      <c r="J105" s="914">
        <f>+SUM(C106:C$501)</f>
        <v>487.67382709682579</v>
      </c>
      <c r="K105" s="914">
        <f t="shared" si="6"/>
        <v>2241.4289501817075</v>
      </c>
      <c r="L105" s="914">
        <f>+SUM(D106:D$501)</f>
        <v>177.09189201972788</v>
      </c>
      <c r="M105" s="914">
        <f>+SUM(E106:E$501)</f>
        <v>8871.9811295553063</v>
      </c>
      <c r="N105" s="914">
        <f>+SUM(F106:F$501)</f>
        <v>16.222817714093303</v>
      </c>
      <c r="O105" s="914">
        <f>+SUM(G106:G$501)</f>
        <v>11306.724789470834</v>
      </c>
      <c r="P105" s="11">
        <f t="shared" si="7"/>
        <v>5.8599190403041996</v>
      </c>
      <c r="Q105" s="913">
        <f t="shared" si="8"/>
        <v>0</v>
      </c>
      <c r="R105" s="11">
        <f t="shared" si="9"/>
        <v>1.6900169761500002E-2</v>
      </c>
      <c r="S105" s="913">
        <f t="shared" si="10"/>
        <v>143</v>
      </c>
    </row>
    <row r="106" spans="1:19" x14ac:dyDescent="0.2">
      <c r="A106" s="11">
        <f t="shared" si="11"/>
        <v>104</v>
      </c>
      <c r="B106" s="11">
        <v>3.5165138241219003</v>
      </c>
      <c r="C106" s="11"/>
      <c r="D106" s="11"/>
      <c r="E106" s="11">
        <v>3.602410605567</v>
      </c>
      <c r="F106" s="11"/>
      <c r="G106" s="11">
        <v>7.1189244296889003</v>
      </c>
      <c r="H106" s="11"/>
      <c r="I106" s="914">
        <f>+SUM(B107:B$501)</f>
        <v>1750.2386092607601</v>
      </c>
      <c r="J106" s="914">
        <f>+SUM(C107:C$501)</f>
        <v>487.67382709682579</v>
      </c>
      <c r="K106" s="914">
        <f t="shared" si="6"/>
        <v>2237.9124363575856</v>
      </c>
      <c r="L106" s="914">
        <f>+SUM(D107:D$501)</f>
        <v>177.09189201972788</v>
      </c>
      <c r="M106" s="914">
        <f>+SUM(E107:E$501)</f>
        <v>8868.3787189497398</v>
      </c>
      <c r="N106" s="914">
        <f>+SUM(F107:F$501)</f>
        <v>16.222817714093303</v>
      </c>
      <c r="O106" s="914">
        <f>+SUM(G107:G$501)</f>
        <v>11299.605865041147</v>
      </c>
      <c r="P106" s="11">
        <f t="shared" si="7"/>
        <v>3.602410605567</v>
      </c>
      <c r="Q106" s="913">
        <f t="shared" si="8"/>
        <v>0</v>
      </c>
      <c r="R106" s="11">
        <f t="shared" si="9"/>
        <v>1.6900169761500002E-2</v>
      </c>
      <c r="S106" s="913">
        <f t="shared" si="10"/>
        <v>142</v>
      </c>
    </row>
    <row r="107" spans="1:19" x14ac:dyDescent="0.2">
      <c r="A107" s="11">
        <f t="shared" si="11"/>
        <v>105</v>
      </c>
      <c r="B107" s="11">
        <v>2.4578056918990998</v>
      </c>
      <c r="C107" s="11"/>
      <c r="D107" s="11"/>
      <c r="E107" s="11">
        <v>3.8740597956928999</v>
      </c>
      <c r="F107" s="11"/>
      <c r="G107" s="11">
        <v>6.3318654875919993</v>
      </c>
      <c r="H107" s="11"/>
      <c r="I107" s="914">
        <f>+SUM(B108:B$501)</f>
        <v>1747.7808035688608</v>
      </c>
      <c r="J107" s="914">
        <f>+SUM(C108:C$501)</f>
        <v>487.67382709682579</v>
      </c>
      <c r="K107" s="914">
        <f t="shared" si="6"/>
        <v>2235.4546306656866</v>
      </c>
      <c r="L107" s="914">
        <f>+SUM(D108:D$501)</f>
        <v>177.09189201972788</v>
      </c>
      <c r="M107" s="914">
        <f>+SUM(E108:E$501)</f>
        <v>8864.5046591540467</v>
      </c>
      <c r="N107" s="914">
        <f>+SUM(F108:F$501)</f>
        <v>16.222817714093303</v>
      </c>
      <c r="O107" s="914">
        <f>+SUM(G108:G$501)</f>
        <v>11293.273999553556</v>
      </c>
      <c r="P107" s="11">
        <f t="shared" si="7"/>
        <v>3.8740597956928999</v>
      </c>
      <c r="Q107" s="913">
        <f t="shared" si="8"/>
        <v>0</v>
      </c>
      <c r="R107" s="11">
        <f t="shared" si="9"/>
        <v>1.6900169761500002E-2</v>
      </c>
      <c r="S107" s="913">
        <f t="shared" si="10"/>
        <v>141</v>
      </c>
    </row>
    <row r="108" spans="1:19" x14ac:dyDescent="0.2">
      <c r="A108" s="11">
        <f t="shared" si="11"/>
        <v>106</v>
      </c>
      <c r="B108" s="11">
        <v>0.87779099437899999</v>
      </c>
      <c r="C108" s="11"/>
      <c r="D108" s="11"/>
      <c r="E108" s="11">
        <v>5.65510755651</v>
      </c>
      <c r="F108" s="11"/>
      <c r="G108" s="11">
        <v>6.5328985508889996</v>
      </c>
      <c r="H108" s="11"/>
      <c r="I108" s="914">
        <f>+SUM(B109:B$501)</f>
        <v>1746.9030125744819</v>
      </c>
      <c r="J108" s="914">
        <f>+SUM(C109:C$501)</f>
        <v>487.67382709682579</v>
      </c>
      <c r="K108" s="914">
        <f t="shared" si="6"/>
        <v>2234.5768396713074</v>
      </c>
      <c r="L108" s="914">
        <f>+SUM(D109:D$501)</f>
        <v>177.09189201972788</v>
      </c>
      <c r="M108" s="914">
        <f>+SUM(E109:E$501)</f>
        <v>8858.8495515975355</v>
      </c>
      <c r="N108" s="914">
        <f>+SUM(F109:F$501)</f>
        <v>16.222817714093303</v>
      </c>
      <c r="O108" s="914">
        <f>+SUM(G109:G$501)</f>
        <v>11286.741101002666</v>
      </c>
      <c r="P108" s="11">
        <f t="shared" si="7"/>
        <v>5.65510755651</v>
      </c>
      <c r="Q108" s="913">
        <f t="shared" si="8"/>
        <v>0</v>
      </c>
      <c r="R108" s="11">
        <f t="shared" si="9"/>
        <v>1.6900169761500002E-2</v>
      </c>
      <c r="S108" s="913">
        <f t="shared" si="10"/>
        <v>140</v>
      </c>
    </row>
    <row r="109" spans="1:19" x14ac:dyDescent="0.2">
      <c r="A109" s="11">
        <f t="shared" si="11"/>
        <v>107</v>
      </c>
      <c r="B109" s="11">
        <v>0.88060818573800004</v>
      </c>
      <c r="C109" s="11"/>
      <c r="D109" s="11"/>
      <c r="E109" s="11">
        <v>6.54476825323</v>
      </c>
      <c r="F109" s="11"/>
      <c r="G109" s="11">
        <v>7.4253764389679997</v>
      </c>
      <c r="H109" s="11"/>
      <c r="I109" s="914">
        <f>+SUM(B110:B$501)</f>
        <v>1746.022404388744</v>
      </c>
      <c r="J109" s="914">
        <f>+SUM(C110:C$501)</f>
        <v>487.67382709682579</v>
      </c>
      <c r="K109" s="914">
        <f t="shared" si="6"/>
        <v>2233.69623148557</v>
      </c>
      <c r="L109" s="914">
        <f>+SUM(D110:D$501)</f>
        <v>177.09189201972788</v>
      </c>
      <c r="M109" s="914">
        <f>+SUM(E110:E$501)</f>
        <v>8852.304783344307</v>
      </c>
      <c r="N109" s="914">
        <f>+SUM(F110:F$501)</f>
        <v>16.222817714093303</v>
      </c>
      <c r="O109" s="914">
        <f>+SUM(G110:G$501)</f>
        <v>11279.315724563698</v>
      </c>
      <c r="P109" s="11">
        <f t="shared" si="7"/>
        <v>6.54476825323</v>
      </c>
      <c r="Q109" s="913">
        <f t="shared" si="8"/>
        <v>0</v>
      </c>
      <c r="R109" s="11">
        <f t="shared" si="9"/>
        <v>1.6900169761500002E-2</v>
      </c>
      <c r="S109" s="913">
        <f t="shared" si="10"/>
        <v>139</v>
      </c>
    </row>
    <row r="110" spans="1:19" x14ac:dyDescent="0.2">
      <c r="A110" s="11">
        <f t="shared" si="11"/>
        <v>108</v>
      </c>
      <c r="B110" s="11">
        <v>1.00273022098</v>
      </c>
      <c r="C110" s="11"/>
      <c r="D110" s="11"/>
      <c r="E110" s="11">
        <v>7.5745000069600001</v>
      </c>
      <c r="F110" s="11"/>
      <c r="G110" s="11">
        <v>8.5772302279399995</v>
      </c>
      <c r="H110" s="11"/>
      <c r="I110" s="914">
        <f>+SUM(B111:B$501)</f>
        <v>1745.0196741677639</v>
      </c>
      <c r="J110" s="914">
        <f>+SUM(C111:C$501)</f>
        <v>487.67382709682579</v>
      </c>
      <c r="K110" s="914">
        <f t="shared" si="6"/>
        <v>2232.6935012645899</v>
      </c>
      <c r="L110" s="914">
        <f>+SUM(D111:D$501)</f>
        <v>177.09189201972788</v>
      </c>
      <c r="M110" s="914">
        <f>+SUM(E111:E$501)</f>
        <v>8844.7302833373469</v>
      </c>
      <c r="N110" s="914">
        <f>+SUM(F111:F$501)</f>
        <v>16.222817714093303</v>
      </c>
      <c r="O110" s="914">
        <f>+SUM(G111:G$501)</f>
        <v>11270.738494335757</v>
      </c>
      <c r="P110" s="11">
        <f t="shared" si="7"/>
        <v>7.5745000069600001</v>
      </c>
      <c r="Q110" s="913">
        <f t="shared" si="8"/>
        <v>0</v>
      </c>
      <c r="R110" s="11">
        <f t="shared" si="9"/>
        <v>1.6900169761500002E-2</v>
      </c>
      <c r="S110" s="913">
        <f t="shared" si="10"/>
        <v>138</v>
      </c>
    </row>
    <row r="111" spans="1:19" x14ac:dyDescent="0.2">
      <c r="A111" s="11">
        <f t="shared" si="11"/>
        <v>109</v>
      </c>
      <c r="B111" s="11">
        <v>1.3157364025880001</v>
      </c>
      <c r="C111" s="11"/>
      <c r="D111" s="11"/>
      <c r="E111" s="11">
        <v>8.5497957968640002</v>
      </c>
      <c r="F111" s="11"/>
      <c r="G111" s="11">
        <v>9.8655321994519998</v>
      </c>
      <c r="H111" s="11"/>
      <c r="I111" s="914">
        <f>+SUM(B112:B$501)</f>
        <v>1743.7039377651759</v>
      </c>
      <c r="J111" s="914">
        <f>+SUM(C112:C$501)</f>
        <v>487.67382709682579</v>
      </c>
      <c r="K111" s="914">
        <f t="shared" si="6"/>
        <v>2231.3777648620016</v>
      </c>
      <c r="L111" s="914">
        <f>+SUM(D112:D$501)</f>
        <v>177.09189201972788</v>
      </c>
      <c r="M111" s="914">
        <f>+SUM(E112:E$501)</f>
        <v>8836.1804875404832</v>
      </c>
      <c r="N111" s="914">
        <f>+SUM(F112:F$501)</f>
        <v>16.222817714093303</v>
      </c>
      <c r="O111" s="914">
        <f>+SUM(G112:G$501)</f>
        <v>11260.872962136305</v>
      </c>
      <c r="P111" s="11">
        <f t="shared" si="7"/>
        <v>8.5497957968640002</v>
      </c>
      <c r="Q111" s="913">
        <f t="shared" si="8"/>
        <v>0</v>
      </c>
      <c r="R111" s="11">
        <f t="shared" si="9"/>
        <v>1.6900169761500002E-2</v>
      </c>
      <c r="S111" s="913">
        <f t="shared" si="10"/>
        <v>137</v>
      </c>
    </row>
    <row r="112" spans="1:19" x14ac:dyDescent="0.2">
      <c r="A112" s="11">
        <f t="shared" si="11"/>
        <v>110</v>
      </c>
      <c r="B112" s="11">
        <v>1.3031107192659999</v>
      </c>
      <c r="C112" s="11"/>
      <c r="D112" s="11"/>
      <c r="E112" s="11">
        <v>10.02800988992</v>
      </c>
      <c r="F112" s="11"/>
      <c r="G112" s="11">
        <v>11.331120609186</v>
      </c>
      <c r="H112" s="11"/>
      <c r="I112" s="914">
        <f>+SUM(B113:B$501)</f>
        <v>1742.4008270459099</v>
      </c>
      <c r="J112" s="914">
        <f>+SUM(C113:C$501)</f>
        <v>487.67382709682579</v>
      </c>
      <c r="K112" s="914">
        <f t="shared" si="6"/>
        <v>2230.0746541427357</v>
      </c>
      <c r="L112" s="914">
        <f>+SUM(D113:D$501)</f>
        <v>177.09189201972788</v>
      </c>
      <c r="M112" s="914">
        <f>+SUM(E113:E$501)</f>
        <v>8826.152477650563</v>
      </c>
      <c r="N112" s="914">
        <f>+SUM(F113:F$501)</f>
        <v>16.222817714093303</v>
      </c>
      <c r="O112" s="914">
        <f>+SUM(G113:G$501)</f>
        <v>11249.541841527116</v>
      </c>
      <c r="P112" s="11">
        <f t="shared" si="7"/>
        <v>10.02800988992</v>
      </c>
      <c r="Q112" s="913">
        <f t="shared" si="8"/>
        <v>0</v>
      </c>
      <c r="R112" s="11">
        <f t="shared" si="9"/>
        <v>1.6900169761500002E-2</v>
      </c>
      <c r="S112" s="913">
        <f t="shared" si="10"/>
        <v>136</v>
      </c>
    </row>
    <row r="113" spans="1:19" x14ac:dyDescent="0.2">
      <c r="A113" s="11">
        <f t="shared" si="11"/>
        <v>111</v>
      </c>
      <c r="B113" s="11">
        <v>1.6478177218794001</v>
      </c>
      <c r="C113" s="11"/>
      <c r="D113" s="11"/>
      <c r="E113" s="11">
        <v>10.98191625544</v>
      </c>
      <c r="F113" s="11"/>
      <c r="G113" s="11">
        <v>12.6297339773194</v>
      </c>
      <c r="H113" s="11"/>
      <c r="I113" s="914">
        <f>+SUM(B114:B$501)</f>
        <v>1740.7530093240305</v>
      </c>
      <c r="J113" s="914">
        <f>+SUM(C114:C$501)</f>
        <v>487.67382709682579</v>
      </c>
      <c r="K113" s="914">
        <f t="shared" si="6"/>
        <v>2228.4268364208565</v>
      </c>
      <c r="L113" s="914">
        <f>+SUM(D114:D$501)</f>
        <v>177.09189201972788</v>
      </c>
      <c r="M113" s="914">
        <f>+SUM(E114:E$501)</f>
        <v>8815.1705613951217</v>
      </c>
      <c r="N113" s="914">
        <f>+SUM(F114:F$501)</f>
        <v>16.222817714093303</v>
      </c>
      <c r="O113" s="914">
        <f>+SUM(G114:G$501)</f>
        <v>11236.912107549797</v>
      </c>
      <c r="P113" s="11">
        <f t="shared" si="7"/>
        <v>10.98191625544</v>
      </c>
      <c r="Q113" s="913">
        <f t="shared" si="8"/>
        <v>0</v>
      </c>
      <c r="R113" s="11">
        <f t="shared" si="9"/>
        <v>1.6900169761500002E-2</v>
      </c>
      <c r="S113" s="913">
        <f t="shared" si="10"/>
        <v>135</v>
      </c>
    </row>
    <row r="114" spans="1:19" x14ac:dyDescent="0.2">
      <c r="A114" s="11">
        <f t="shared" si="11"/>
        <v>112</v>
      </c>
      <c r="B114" s="11">
        <v>1.6825783852959999</v>
      </c>
      <c r="C114" s="11"/>
      <c r="D114" s="11"/>
      <c r="E114" s="11">
        <v>12.11057728678</v>
      </c>
      <c r="F114" s="11"/>
      <c r="G114" s="11">
        <v>13.793155672076001</v>
      </c>
      <c r="H114" s="11"/>
      <c r="I114" s="914">
        <f>+SUM(B115:B$501)</f>
        <v>1739.0704309387345</v>
      </c>
      <c r="J114" s="914">
        <f>+SUM(C115:C$501)</f>
        <v>487.67382709682579</v>
      </c>
      <c r="K114" s="914">
        <f t="shared" si="6"/>
        <v>2226.7442580355601</v>
      </c>
      <c r="L114" s="914">
        <f>+SUM(D115:D$501)</f>
        <v>177.09189201972788</v>
      </c>
      <c r="M114" s="914">
        <f>+SUM(E115:E$501)</f>
        <v>8803.0599841083422</v>
      </c>
      <c r="N114" s="914">
        <f>+SUM(F115:F$501)</f>
        <v>16.222817714093303</v>
      </c>
      <c r="O114" s="914">
        <f>+SUM(G115:G$501)</f>
        <v>11223.118951877721</v>
      </c>
      <c r="P114" s="11">
        <f t="shared" si="7"/>
        <v>12.11057728678</v>
      </c>
      <c r="Q114" s="913">
        <f t="shared" si="8"/>
        <v>0</v>
      </c>
      <c r="R114" s="11">
        <f t="shared" si="9"/>
        <v>1.6900169761500002E-2</v>
      </c>
      <c r="S114" s="913">
        <f t="shared" si="10"/>
        <v>134</v>
      </c>
    </row>
    <row r="115" spans="1:19" x14ac:dyDescent="0.2">
      <c r="A115" s="11">
        <f t="shared" si="11"/>
        <v>113</v>
      </c>
      <c r="B115" s="11">
        <v>2.8249836568250002</v>
      </c>
      <c r="C115" s="11"/>
      <c r="D115" s="11"/>
      <c r="E115" s="11">
        <v>11.494930923070001</v>
      </c>
      <c r="F115" s="11"/>
      <c r="G115" s="11">
        <v>14.319914579895002</v>
      </c>
      <c r="H115" s="11"/>
      <c r="I115" s="914">
        <f>+SUM(B116:B$501)</f>
        <v>1736.2454472819095</v>
      </c>
      <c r="J115" s="914">
        <f>+SUM(C116:C$501)</f>
        <v>487.67382709682579</v>
      </c>
      <c r="K115" s="914">
        <f t="shared" si="6"/>
        <v>2223.9192743787353</v>
      </c>
      <c r="L115" s="914">
        <f>+SUM(D116:D$501)</f>
        <v>177.09189201972788</v>
      </c>
      <c r="M115" s="914">
        <f>+SUM(E116:E$501)</f>
        <v>8791.5650531852698</v>
      </c>
      <c r="N115" s="914">
        <f>+SUM(F116:F$501)</f>
        <v>16.222817714093303</v>
      </c>
      <c r="O115" s="914">
        <f>+SUM(G116:G$501)</f>
        <v>11208.799037297827</v>
      </c>
      <c r="P115" s="11">
        <f t="shared" si="7"/>
        <v>11.494930923070001</v>
      </c>
      <c r="Q115" s="913">
        <f t="shared" si="8"/>
        <v>0</v>
      </c>
      <c r="R115" s="11">
        <f t="shared" si="9"/>
        <v>1.6900169761500002E-2</v>
      </c>
      <c r="S115" s="913">
        <f t="shared" si="10"/>
        <v>133</v>
      </c>
    </row>
    <row r="116" spans="1:19" x14ac:dyDescent="0.2">
      <c r="A116" s="11">
        <f t="shared" si="11"/>
        <v>114</v>
      </c>
      <c r="B116" s="11">
        <v>3.3623577012394139</v>
      </c>
      <c r="C116" s="11"/>
      <c r="D116" s="11"/>
      <c r="E116" s="11">
        <v>10.733898744500001</v>
      </c>
      <c r="F116" s="11"/>
      <c r="G116" s="11">
        <v>14.096256445739415</v>
      </c>
      <c r="H116" s="11"/>
      <c r="I116" s="914">
        <f>+SUM(B117:B$501)</f>
        <v>1732.88308958067</v>
      </c>
      <c r="J116" s="914">
        <f>+SUM(C117:C$501)</f>
        <v>487.67382709682579</v>
      </c>
      <c r="K116" s="914">
        <f t="shared" si="6"/>
        <v>2220.5569166774958</v>
      </c>
      <c r="L116" s="914">
        <f>+SUM(D117:D$501)</f>
        <v>177.09189201972788</v>
      </c>
      <c r="M116" s="914">
        <f>+SUM(E117:E$501)</f>
        <v>8780.8311544407698</v>
      </c>
      <c r="N116" s="914">
        <f>+SUM(F117:F$501)</f>
        <v>16.222817714093303</v>
      </c>
      <c r="O116" s="914">
        <f>+SUM(G117:G$501)</f>
        <v>11194.702780852087</v>
      </c>
      <c r="P116" s="11">
        <f t="shared" si="7"/>
        <v>10.733898744500001</v>
      </c>
      <c r="Q116" s="913">
        <f t="shared" si="8"/>
        <v>0</v>
      </c>
      <c r="R116" s="11">
        <f t="shared" si="9"/>
        <v>1.6900169761500002E-2</v>
      </c>
      <c r="S116" s="913">
        <f t="shared" si="10"/>
        <v>132</v>
      </c>
    </row>
    <row r="117" spans="1:19" x14ac:dyDescent="0.2">
      <c r="A117" s="11">
        <f t="shared" si="11"/>
        <v>115</v>
      </c>
      <c r="B117" s="11">
        <v>1.250297847695</v>
      </c>
      <c r="C117" s="11"/>
      <c r="D117" s="11"/>
      <c r="E117" s="11">
        <v>13.208027973465001</v>
      </c>
      <c r="F117" s="11"/>
      <c r="G117" s="11">
        <v>14.458325821160001</v>
      </c>
      <c r="H117" s="11"/>
      <c r="I117" s="914">
        <f>+SUM(B118:B$501)</f>
        <v>1731.6327917329752</v>
      </c>
      <c r="J117" s="914">
        <f>+SUM(C118:C$501)</f>
        <v>487.67382709682579</v>
      </c>
      <c r="K117" s="914">
        <f t="shared" si="6"/>
        <v>2219.3066188298008</v>
      </c>
      <c r="L117" s="914">
        <f>+SUM(D118:D$501)</f>
        <v>177.09189201972788</v>
      </c>
      <c r="M117" s="914">
        <f>+SUM(E118:E$501)</f>
        <v>8767.6231264673061</v>
      </c>
      <c r="N117" s="914">
        <f>+SUM(F118:F$501)</f>
        <v>16.222817714093303</v>
      </c>
      <c r="O117" s="914">
        <f>+SUM(G118:G$501)</f>
        <v>11180.244455030926</v>
      </c>
      <c r="P117" s="11">
        <f t="shared" si="7"/>
        <v>13.208027973465001</v>
      </c>
      <c r="Q117" s="913">
        <f t="shared" si="8"/>
        <v>0</v>
      </c>
      <c r="R117" s="11">
        <f t="shared" si="9"/>
        <v>1.6900169761500002E-2</v>
      </c>
      <c r="S117" s="913">
        <f t="shared" si="10"/>
        <v>131</v>
      </c>
    </row>
    <row r="118" spans="1:19" x14ac:dyDescent="0.2">
      <c r="A118" s="11">
        <f t="shared" si="11"/>
        <v>116</v>
      </c>
      <c r="B118" s="11">
        <v>2.0713398745660001</v>
      </c>
      <c r="C118" s="11"/>
      <c r="D118" s="11"/>
      <c r="E118" s="11">
        <v>12.068440533627301</v>
      </c>
      <c r="F118" s="11"/>
      <c r="G118" s="11">
        <v>14.139780408193301</v>
      </c>
      <c r="H118" s="11"/>
      <c r="I118" s="914">
        <f>+SUM(B119:B$501)</f>
        <v>1729.5614518584093</v>
      </c>
      <c r="J118" s="914">
        <f>+SUM(C119:C$501)</f>
        <v>487.67382709682579</v>
      </c>
      <c r="K118" s="914">
        <f t="shared" si="6"/>
        <v>2217.2352789552351</v>
      </c>
      <c r="L118" s="914">
        <f>+SUM(D119:D$501)</f>
        <v>177.09189201972788</v>
      </c>
      <c r="M118" s="914">
        <f>+SUM(E119:E$501)</f>
        <v>8755.5546859336773</v>
      </c>
      <c r="N118" s="914">
        <f>+SUM(F119:F$501)</f>
        <v>16.222817714093303</v>
      </c>
      <c r="O118" s="914">
        <f>+SUM(G119:G$501)</f>
        <v>11166.104674622733</v>
      </c>
      <c r="P118" s="11">
        <f t="shared" si="7"/>
        <v>12.068440533627301</v>
      </c>
      <c r="Q118" s="913">
        <f t="shared" si="8"/>
        <v>0</v>
      </c>
      <c r="R118" s="11">
        <f t="shared" si="9"/>
        <v>1.6900169761500002E-2</v>
      </c>
      <c r="S118" s="913">
        <f t="shared" si="10"/>
        <v>130</v>
      </c>
    </row>
    <row r="119" spans="1:19" x14ac:dyDescent="0.2">
      <c r="A119" s="11">
        <f t="shared" si="11"/>
        <v>117</v>
      </c>
      <c r="B119" s="11">
        <v>2.4925496513560006</v>
      </c>
      <c r="C119" s="11"/>
      <c r="D119" s="11"/>
      <c r="E119" s="11">
        <v>11.073199554099</v>
      </c>
      <c r="F119" s="11"/>
      <c r="G119" s="11">
        <v>13.565749205455001</v>
      </c>
      <c r="H119" s="11"/>
      <c r="I119" s="914">
        <f>+SUM(B120:B$501)</f>
        <v>1727.0689022070533</v>
      </c>
      <c r="J119" s="914">
        <f>+SUM(C120:C$501)</f>
        <v>487.67382709682579</v>
      </c>
      <c r="K119" s="914">
        <f t="shared" si="6"/>
        <v>2214.7427293038791</v>
      </c>
      <c r="L119" s="914">
        <f>+SUM(D120:D$501)</f>
        <v>177.09189201972788</v>
      </c>
      <c r="M119" s="914">
        <f>+SUM(E120:E$501)</f>
        <v>8744.48148637958</v>
      </c>
      <c r="N119" s="914">
        <f>+SUM(F120:F$501)</f>
        <v>16.222817714093303</v>
      </c>
      <c r="O119" s="914">
        <f>+SUM(G120:G$501)</f>
        <v>11152.538925417281</v>
      </c>
      <c r="P119" s="11">
        <f t="shared" si="7"/>
        <v>11.073199554099</v>
      </c>
      <c r="Q119" s="913">
        <f t="shared" si="8"/>
        <v>0</v>
      </c>
      <c r="R119" s="11">
        <f t="shared" si="9"/>
        <v>1.6900169761500002E-2</v>
      </c>
      <c r="S119" s="913">
        <f t="shared" si="10"/>
        <v>129</v>
      </c>
    </row>
    <row r="120" spans="1:19" x14ac:dyDescent="0.2">
      <c r="A120" s="11">
        <f t="shared" si="11"/>
        <v>118</v>
      </c>
      <c r="B120" s="11">
        <v>2.8884358763676299</v>
      </c>
      <c r="C120" s="11"/>
      <c r="D120" s="11"/>
      <c r="E120" s="11">
        <v>10.70800414334</v>
      </c>
      <c r="F120" s="11"/>
      <c r="G120" s="11">
        <v>13.59644001970763</v>
      </c>
      <c r="H120" s="11"/>
      <c r="I120" s="914">
        <f>+SUM(B121:B$501)</f>
        <v>1724.1804663306857</v>
      </c>
      <c r="J120" s="914">
        <f>+SUM(C121:C$501)</f>
        <v>487.67382709682579</v>
      </c>
      <c r="K120" s="914">
        <f t="shared" si="6"/>
        <v>2211.8542934275115</v>
      </c>
      <c r="L120" s="914">
        <f>+SUM(D121:D$501)</f>
        <v>177.09189201972788</v>
      </c>
      <c r="M120" s="914">
        <f>+SUM(E121:E$501)</f>
        <v>8733.7734822362399</v>
      </c>
      <c r="N120" s="914">
        <f>+SUM(F121:F$501)</f>
        <v>16.222817714093303</v>
      </c>
      <c r="O120" s="914">
        <f>+SUM(G121:G$501)</f>
        <v>11138.942485397572</v>
      </c>
      <c r="P120" s="11">
        <f t="shared" si="7"/>
        <v>10.70800414334</v>
      </c>
      <c r="Q120" s="913">
        <f t="shared" si="8"/>
        <v>0</v>
      </c>
      <c r="R120" s="11">
        <f t="shared" si="9"/>
        <v>1.6900169761500002E-2</v>
      </c>
      <c r="S120" s="913">
        <f t="shared" si="10"/>
        <v>128</v>
      </c>
    </row>
    <row r="121" spans="1:19" x14ac:dyDescent="0.2">
      <c r="A121" s="11">
        <f t="shared" si="11"/>
        <v>119</v>
      </c>
      <c r="B121" s="11">
        <v>3.1398133823759995</v>
      </c>
      <c r="C121" s="11"/>
      <c r="D121" s="11"/>
      <c r="E121" s="11">
        <v>10.436095873374001</v>
      </c>
      <c r="F121" s="11"/>
      <c r="G121" s="11">
        <v>13.57590925575</v>
      </c>
      <c r="H121" s="11"/>
      <c r="I121" s="914">
        <f>+SUM(B122:B$501)</f>
        <v>1721.0406529483096</v>
      </c>
      <c r="J121" s="914">
        <f>+SUM(C122:C$501)</f>
        <v>487.67382709682579</v>
      </c>
      <c r="K121" s="914">
        <f t="shared" si="6"/>
        <v>2208.7144800451351</v>
      </c>
      <c r="L121" s="914">
        <f>+SUM(D122:D$501)</f>
        <v>177.09189201972788</v>
      </c>
      <c r="M121" s="914">
        <f>+SUM(E122:E$501)</f>
        <v>8723.3373863628658</v>
      </c>
      <c r="N121" s="914">
        <f>+SUM(F122:F$501)</f>
        <v>16.222817714093303</v>
      </c>
      <c r="O121" s="914">
        <f>+SUM(G122:G$501)</f>
        <v>11125.36657614182</v>
      </c>
      <c r="P121" s="11">
        <f t="shared" si="7"/>
        <v>10.436095873374001</v>
      </c>
      <c r="Q121" s="913">
        <f t="shared" si="8"/>
        <v>0</v>
      </c>
      <c r="R121" s="11">
        <f t="shared" si="9"/>
        <v>1.6900169761500002E-2</v>
      </c>
      <c r="S121" s="913">
        <f t="shared" si="10"/>
        <v>127</v>
      </c>
    </row>
    <row r="122" spans="1:19" x14ac:dyDescent="0.2">
      <c r="A122" s="11">
        <f t="shared" si="11"/>
        <v>120</v>
      </c>
      <c r="B122" s="11">
        <v>1.109941577882074</v>
      </c>
      <c r="C122" s="11"/>
      <c r="D122" s="11"/>
      <c r="E122" s="11">
        <v>13.386232450843998</v>
      </c>
      <c r="F122" s="11"/>
      <c r="G122" s="11">
        <v>14.496174028726072</v>
      </c>
      <c r="H122" s="11"/>
      <c r="I122" s="914">
        <f>+SUM(B123:B$501)</f>
        <v>1719.9307113704276</v>
      </c>
      <c r="J122" s="914">
        <f>+SUM(C123:C$501)</f>
        <v>487.67382709682579</v>
      </c>
      <c r="K122" s="914">
        <f t="shared" si="6"/>
        <v>2207.6045384672534</v>
      </c>
      <c r="L122" s="914">
        <f>+SUM(D123:D$501)</f>
        <v>177.09189201972788</v>
      </c>
      <c r="M122" s="914">
        <f>+SUM(E123:E$501)</f>
        <v>8709.9511539120213</v>
      </c>
      <c r="N122" s="914">
        <f>+SUM(F123:F$501)</f>
        <v>16.222817714093303</v>
      </c>
      <c r="O122" s="914">
        <f>+SUM(G123:G$501)</f>
        <v>11110.870402113094</v>
      </c>
      <c r="P122" s="11">
        <f t="shared" si="7"/>
        <v>13.386232450843998</v>
      </c>
      <c r="Q122" s="913">
        <f t="shared" si="8"/>
        <v>0</v>
      </c>
      <c r="R122" s="11">
        <f t="shared" si="9"/>
        <v>1.6900169761500002E-2</v>
      </c>
      <c r="S122" s="913">
        <f t="shared" si="10"/>
        <v>126</v>
      </c>
    </row>
    <row r="123" spans="1:19" x14ac:dyDescent="0.2">
      <c r="A123" s="11">
        <f t="shared" si="11"/>
        <v>121</v>
      </c>
      <c r="B123" s="11">
        <v>1.2884748415670999</v>
      </c>
      <c r="C123" s="11"/>
      <c r="D123" s="11"/>
      <c r="E123" s="11">
        <v>14.163164983072999</v>
      </c>
      <c r="F123" s="11"/>
      <c r="G123" s="11">
        <v>15.451639824640099</v>
      </c>
      <c r="H123" s="11"/>
      <c r="I123" s="914">
        <f>+SUM(B124:B$501)</f>
        <v>1718.6422365288604</v>
      </c>
      <c r="J123" s="914">
        <f>+SUM(C124:C$501)</f>
        <v>487.67382709682579</v>
      </c>
      <c r="K123" s="914">
        <f t="shared" si="6"/>
        <v>2206.3160636256862</v>
      </c>
      <c r="L123" s="914">
        <f>+SUM(D124:D$501)</f>
        <v>177.09189201972788</v>
      </c>
      <c r="M123" s="914">
        <f>+SUM(E124:E$501)</f>
        <v>8695.7879889289488</v>
      </c>
      <c r="N123" s="914">
        <f>+SUM(F124:F$501)</f>
        <v>16.222817714093303</v>
      </c>
      <c r="O123" s="914">
        <f>+SUM(G124:G$501)</f>
        <v>11095.418762288456</v>
      </c>
      <c r="P123" s="11">
        <f t="shared" si="7"/>
        <v>14.163164983072999</v>
      </c>
      <c r="Q123" s="913">
        <f t="shared" si="8"/>
        <v>0</v>
      </c>
      <c r="R123" s="11">
        <f t="shared" si="9"/>
        <v>1.6900169761500002E-2</v>
      </c>
      <c r="S123" s="913">
        <f t="shared" si="10"/>
        <v>125</v>
      </c>
    </row>
    <row r="124" spans="1:19" x14ac:dyDescent="0.2">
      <c r="A124" s="11">
        <f t="shared" si="11"/>
        <v>122</v>
      </c>
      <c r="B124" s="11">
        <v>2.0381909402352996</v>
      </c>
      <c r="C124" s="11"/>
      <c r="D124" s="11"/>
      <c r="E124" s="11">
        <v>13.91551508535</v>
      </c>
      <c r="F124" s="11"/>
      <c r="G124" s="11">
        <v>15.9537060255853</v>
      </c>
      <c r="H124" s="11"/>
      <c r="I124" s="914">
        <f>+SUM(B125:B$501)</f>
        <v>1716.604045588625</v>
      </c>
      <c r="J124" s="914">
        <f>+SUM(C125:C$501)</f>
        <v>487.67382709682579</v>
      </c>
      <c r="K124" s="914">
        <f t="shared" si="6"/>
        <v>2204.2778726854508</v>
      </c>
      <c r="L124" s="914">
        <f>+SUM(D125:D$501)</f>
        <v>177.09189201972788</v>
      </c>
      <c r="M124" s="914">
        <f>+SUM(E125:E$501)</f>
        <v>8681.8724738435994</v>
      </c>
      <c r="N124" s="914">
        <f>+SUM(F125:F$501)</f>
        <v>16.222817714093303</v>
      </c>
      <c r="O124" s="914">
        <f>+SUM(G125:G$501)</f>
        <v>11079.46505626287</v>
      </c>
      <c r="P124" s="11">
        <f t="shared" si="7"/>
        <v>13.91551508535</v>
      </c>
      <c r="Q124" s="913">
        <f t="shared" si="8"/>
        <v>0</v>
      </c>
      <c r="R124" s="11">
        <f t="shared" si="9"/>
        <v>1.6900169761500002E-2</v>
      </c>
      <c r="S124" s="913">
        <f t="shared" si="10"/>
        <v>124</v>
      </c>
    </row>
    <row r="125" spans="1:19" x14ac:dyDescent="0.2">
      <c r="A125" s="11">
        <f t="shared" si="11"/>
        <v>123</v>
      </c>
      <c r="B125" s="11">
        <v>1.7411694445370991</v>
      </c>
      <c r="C125" s="11"/>
      <c r="D125" s="11"/>
      <c r="E125" s="11">
        <v>14.55249781226</v>
      </c>
      <c r="F125" s="11"/>
      <c r="G125" s="11">
        <v>16.2936672567971</v>
      </c>
      <c r="H125" s="11"/>
      <c r="I125" s="914">
        <f>+SUM(B126:B$501)</f>
        <v>1714.862876144088</v>
      </c>
      <c r="J125" s="914">
        <f>+SUM(C126:C$501)</f>
        <v>487.67382709682579</v>
      </c>
      <c r="K125" s="914">
        <f t="shared" si="6"/>
        <v>2202.536703240914</v>
      </c>
      <c r="L125" s="914">
        <f>+SUM(D126:D$501)</f>
        <v>177.09189201972788</v>
      </c>
      <c r="M125" s="914">
        <f>+SUM(E126:E$501)</f>
        <v>8667.3199760313382</v>
      </c>
      <c r="N125" s="914">
        <f>+SUM(F126:F$501)</f>
        <v>16.222817714093303</v>
      </c>
      <c r="O125" s="914">
        <f>+SUM(G126:G$501)</f>
        <v>11063.171389006071</v>
      </c>
      <c r="P125" s="11">
        <f t="shared" si="7"/>
        <v>14.55249781226</v>
      </c>
      <c r="Q125" s="913">
        <f t="shared" si="8"/>
        <v>0</v>
      </c>
      <c r="R125" s="11">
        <f t="shared" si="9"/>
        <v>1.6900169761500002E-2</v>
      </c>
      <c r="S125" s="913">
        <f t="shared" si="10"/>
        <v>123</v>
      </c>
    </row>
    <row r="126" spans="1:19" x14ac:dyDescent="0.2">
      <c r="A126" s="11">
        <f t="shared" si="11"/>
        <v>124</v>
      </c>
      <c r="B126" s="11">
        <v>2.6849177570910698</v>
      </c>
      <c r="C126" s="11"/>
      <c r="D126" s="11"/>
      <c r="E126" s="11">
        <v>15.522641326219</v>
      </c>
      <c r="F126" s="11"/>
      <c r="G126" s="11">
        <v>18.20755908331007</v>
      </c>
      <c r="H126" s="11"/>
      <c r="I126" s="914">
        <f>+SUM(B127:B$501)</f>
        <v>1712.1779583869968</v>
      </c>
      <c r="J126" s="914">
        <f>+SUM(C127:C$501)</f>
        <v>487.67382709682579</v>
      </c>
      <c r="K126" s="914">
        <f t="shared" si="6"/>
        <v>2199.8517854838228</v>
      </c>
      <c r="L126" s="914">
        <f>+SUM(D127:D$501)</f>
        <v>177.09189201972788</v>
      </c>
      <c r="M126" s="914">
        <f>+SUM(E127:E$501)</f>
        <v>8651.7973347051193</v>
      </c>
      <c r="N126" s="914">
        <f>+SUM(F127:F$501)</f>
        <v>16.222817714093303</v>
      </c>
      <c r="O126" s="914">
        <f>+SUM(G127:G$501)</f>
        <v>11044.963829922763</v>
      </c>
      <c r="P126" s="11">
        <f t="shared" si="7"/>
        <v>15.522641326219</v>
      </c>
      <c r="Q126" s="913">
        <f t="shared" si="8"/>
        <v>0</v>
      </c>
      <c r="R126" s="11">
        <f t="shared" si="9"/>
        <v>1.6900169761500002E-2</v>
      </c>
      <c r="S126" s="913">
        <f t="shared" si="10"/>
        <v>122</v>
      </c>
    </row>
    <row r="127" spans="1:19" x14ac:dyDescent="0.2">
      <c r="A127" s="11">
        <f t="shared" si="11"/>
        <v>125</v>
      </c>
      <c r="B127" s="11">
        <v>2.6504276421329998</v>
      </c>
      <c r="C127" s="11"/>
      <c r="D127" s="11"/>
      <c r="E127" s="11">
        <v>21.213169084499999</v>
      </c>
      <c r="F127" s="11"/>
      <c r="G127" s="11">
        <v>23.863596726632998</v>
      </c>
      <c r="H127" s="11"/>
      <c r="I127" s="914">
        <f>+SUM(B128:B$501)</f>
        <v>1709.5275307448637</v>
      </c>
      <c r="J127" s="914">
        <f>+SUM(C128:C$501)</f>
        <v>487.67382709682579</v>
      </c>
      <c r="K127" s="914">
        <f t="shared" si="6"/>
        <v>2197.2013578416895</v>
      </c>
      <c r="L127" s="914">
        <f>+SUM(D128:D$501)</f>
        <v>177.09189201972788</v>
      </c>
      <c r="M127" s="914">
        <f>+SUM(E128:E$501)</f>
        <v>8630.5841656206194</v>
      </c>
      <c r="N127" s="914">
        <f>+SUM(F128:F$501)</f>
        <v>16.222817714093303</v>
      </c>
      <c r="O127" s="914">
        <f>+SUM(G128:G$501)</f>
        <v>11021.100233196128</v>
      </c>
      <c r="P127" s="11">
        <f t="shared" si="7"/>
        <v>21.213169084499999</v>
      </c>
      <c r="Q127" s="913">
        <f t="shared" si="8"/>
        <v>0</v>
      </c>
      <c r="R127" s="11">
        <f t="shared" si="9"/>
        <v>1.6900169761500002E-2</v>
      </c>
      <c r="S127" s="913">
        <f t="shared" si="10"/>
        <v>121</v>
      </c>
    </row>
    <row r="128" spans="1:19" x14ac:dyDescent="0.2">
      <c r="A128" s="11">
        <f t="shared" si="11"/>
        <v>126</v>
      </c>
      <c r="B128" s="11">
        <v>1.52123594383</v>
      </c>
      <c r="C128" s="11"/>
      <c r="D128" s="11"/>
      <c r="E128" s="11">
        <v>25.5306858804</v>
      </c>
      <c r="F128" s="11"/>
      <c r="G128" s="11">
        <v>27.05192182423</v>
      </c>
      <c r="H128" s="11"/>
      <c r="I128" s="914">
        <f>+SUM(B129:B$501)</f>
        <v>1708.0062948010338</v>
      </c>
      <c r="J128" s="914">
        <f>+SUM(C129:C$501)</f>
        <v>487.67382709682579</v>
      </c>
      <c r="K128" s="914">
        <f t="shared" si="6"/>
        <v>2195.6801218978599</v>
      </c>
      <c r="L128" s="914">
        <f>+SUM(D129:D$501)</f>
        <v>177.09189201972788</v>
      </c>
      <c r="M128" s="914">
        <f>+SUM(E129:E$501)</f>
        <v>8605.0534797402197</v>
      </c>
      <c r="N128" s="914">
        <f>+SUM(F129:F$501)</f>
        <v>16.222817714093303</v>
      </c>
      <c r="O128" s="914">
        <f>+SUM(G129:G$501)</f>
        <v>10994.048311371898</v>
      </c>
      <c r="P128" s="11">
        <f t="shared" si="7"/>
        <v>25.5306858804</v>
      </c>
      <c r="Q128" s="913">
        <f t="shared" si="8"/>
        <v>0</v>
      </c>
      <c r="R128" s="11">
        <f t="shared" si="9"/>
        <v>1.6900169761500002E-2</v>
      </c>
      <c r="S128" s="913">
        <f t="shared" si="10"/>
        <v>120</v>
      </c>
    </row>
    <row r="129" spans="1:19" x14ac:dyDescent="0.2">
      <c r="A129" s="11">
        <f t="shared" si="11"/>
        <v>127</v>
      </c>
      <c r="B129" s="11">
        <v>1.0142225707020001</v>
      </c>
      <c r="C129" s="11"/>
      <c r="D129" s="11"/>
      <c r="E129" s="11">
        <v>26.953376950199999</v>
      </c>
      <c r="F129" s="11"/>
      <c r="G129" s="11">
        <v>27.967599520901999</v>
      </c>
      <c r="H129" s="11"/>
      <c r="I129" s="914">
        <f>+SUM(B130:B$501)</f>
        <v>1706.9920722303318</v>
      </c>
      <c r="J129" s="914">
        <f>+SUM(C130:C$501)</f>
        <v>487.67382709682579</v>
      </c>
      <c r="K129" s="914">
        <f t="shared" si="6"/>
        <v>2194.6658993271576</v>
      </c>
      <c r="L129" s="914">
        <f>+SUM(D130:D$501)</f>
        <v>177.09189201972788</v>
      </c>
      <c r="M129" s="914">
        <f>+SUM(E130:E$501)</f>
        <v>8578.1001027900202</v>
      </c>
      <c r="N129" s="914">
        <f>+SUM(F130:F$501)</f>
        <v>16.222817714093303</v>
      </c>
      <c r="O129" s="914">
        <f>+SUM(G130:G$501)</f>
        <v>10966.080711850995</v>
      </c>
      <c r="P129" s="11">
        <f t="shared" si="7"/>
        <v>26.953376950199999</v>
      </c>
      <c r="Q129" s="913">
        <f t="shared" si="8"/>
        <v>0</v>
      </c>
      <c r="R129" s="11">
        <f t="shared" si="9"/>
        <v>1.6900169761500002E-2</v>
      </c>
      <c r="S129" s="913">
        <f t="shared" si="10"/>
        <v>119</v>
      </c>
    </row>
    <row r="130" spans="1:19" x14ac:dyDescent="0.2">
      <c r="A130" s="11">
        <f t="shared" si="11"/>
        <v>128</v>
      </c>
      <c r="B130" s="11">
        <v>4.3152789954606998</v>
      </c>
      <c r="C130" s="11">
        <v>8.5702880422E-2</v>
      </c>
      <c r="D130" s="11"/>
      <c r="E130" s="11">
        <v>24.046077759500001</v>
      </c>
      <c r="F130" s="11"/>
      <c r="G130" s="11">
        <v>28.447059635382701</v>
      </c>
      <c r="H130" s="11"/>
      <c r="I130" s="914">
        <f>+SUM(B131:B$501)</f>
        <v>1702.6767932348712</v>
      </c>
      <c r="J130" s="914">
        <f>+SUM(C131:C$501)</f>
        <v>487.5881242164038</v>
      </c>
      <c r="K130" s="914">
        <f t="shared" si="6"/>
        <v>2190.2649174512749</v>
      </c>
      <c r="L130" s="914">
        <f>+SUM(D131:D$501)</f>
        <v>177.09189201972788</v>
      </c>
      <c r="M130" s="914">
        <f>+SUM(E131:E$501)</f>
        <v>8554.0540250305203</v>
      </c>
      <c r="N130" s="914">
        <f>+SUM(F131:F$501)</f>
        <v>16.222817714093303</v>
      </c>
      <c r="O130" s="914">
        <f>+SUM(G131:G$501)</f>
        <v>10937.633652215609</v>
      </c>
      <c r="P130" s="11">
        <f t="shared" si="7"/>
        <v>24.046077759500001</v>
      </c>
      <c r="Q130" s="913">
        <f t="shared" si="8"/>
        <v>0</v>
      </c>
      <c r="R130" s="11">
        <f t="shared" si="9"/>
        <v>1.6900169761500002E-2</v>
      </c>
      <c r="S130" s="913">
        <f t="shared" si="10"/>
        <v>118</v>
      </c>
    </row>
    <row r="131" spans="1:19" x14ac:dyDescent="0.2">
      <c r="A131" s="11">
        <f t="shared" si="11"/>
        <v>129</v>
      </c>
      <c r="B131" s="11">
        <v>1.37423359273</v>
      </c>
      <c r="C131" s="11">
        <v>0.67151802218521406</v>
      </c>
      <c r="D131" s="11"/>
      <c r="E131" s="11">
        <v>27.236884076599999</v>
      </c>
      <c r="F131" s="11"/>
      <c r="G131" s="11">
        <v>29.282635691515214</v>
      </c>
      <c r="H131" s="11"/>
      <c r="I131" s="914">
        <f>+SUM(B132:B$501)</f>
        <v>1701.3025596421412</v>
      </c>
      <c r="J131" s="914">
        <f>+SUM(C132:C$501)</f>
        <v>486.9166061942185</v>
      </c>
      <c r="K131" s="914">
        <f t="shared" si="6"/>
        <v>2188.2191658363599</v>
      </c>
      <c r="L131" s="914">
        <f>+SUM(D132:D$501)</f>
        <v>177.09189201972788</v>
      </c>
      <c r="M131" s="914">
        <f>+SUM(E132:E$501)</f>
        <v>8526.8171409539209</v>
      </c>
      <c r="N131" s="914">
        <f>+SUM(F132:F$501)</f>
        <v>16.222817714093303</v>
      </c>
      <c r="O131" s="914">
        <f>+SUM(G132:G$501)</f>
        <v>10908.351016524095</v>
      </c>
      <c r="P131" s="11">
        <f t="shared" si="7"/>
        <v>27.236884076599999</v>
      </c>
      <c r="Q131" s="913">
        <f t="shared" si="8"/>
        <v>0</v>
      </c>
      <c r="R131" s="11">
        <f t="shared" si="9"/>
        <v>1.6900169761500002E-2</v>
      </c>
      <c r="S131" s="913">
        <f t="shared" si="10"/>
        <v>117</v>
      </c>
    </row>
    <row r="132" spans="1:19" x14ac:dyDescent="0.2">
      <c r="A132" s="11">
        <f t="shared" si="11"/>
        <v>130</v>
      </c>
      <c r="B132" s="11">
        <v>2.3240709963209998</v>
      </c>
      <c r="C132" s="11">
        <v>2.1221140965790002</v>
      </c>
      <c r="D132" s="11"/>
      <c r="E132" s="11">
        <v>26.274844583299998</v>
      </c>
      <c r="F132" s="11"/>
      <c r="G132" s="11">
        <v>30.721029676199997</v>
      </c>
      <c r="H132" s="11"/>
      <c r="I132" s="914">
        <f>+SUM(B133:B$501)</f>
        <v>1698.9784886458203</v>
      </c>
      <c r="J132" s="914">
        <f>+SUM(C133:C$501)</f>
        <v>484.79449209763959</v>
      </c>
      <c r="K132" s="914">
        <f t="shared" ref="K132:K195" si="12">+I132+J132</f>
        <v>2183.7729807434598</v>
      </c>
      <c r="L132" s="914">
        <f>+SUM(D133:D$501)</f>
        <v>177.09189201972788</v>
      </c>
      <c r="M132" s="914">
        <f>+SUM(E133:E$501)</f>
        <v>8500.5422963706205</v>
      </c>
      <c r="N132" s="914">
        <f>+SUM(F133:F$501)</f>
        <v>16.222817714093303</v>
      </c>
      <c r="O132" s="914">
        <f>+SUM(G133:G$501)</f>
        <v>10877.629986847896</v>
      </c>
      <c r="P132" s="11">
        <f t="shared" ref="P132:P195" si="13">IF(E132&gt;0,E132,P133)</f>
        <v>26.274844583299998</v>
      </c>
      <c r="Q132" s="913">
        <f t="shared" ref="Q132:Q195" si="14">+IF(E132&gt;0, 0, Q133+A133-A132)</f>
        <v>0</v>
      </c>
      <c r="R132" s="11">
        <f t="shared" ref="R132:R195" si="15">IF(F132&gt;0,F132,R133)</f>
        <v>1.6900169761500002E-2</v>
      </c>
      <c r="S132" s="913">
        <f t="shared" ref="S132:S195" si="16">+IF(F132&gt;0, 0, S133+A133-A132)</f>
        <v>116</v>
      </c>
    </row>
    <row r="133" spans="1:19" x14ac:dyDescent="0.2">
      <c r="A133" s="11">
        <f t="shared" si="11"/>
        <v>131</v>
      </c>
      <c r="B133" s="11">
        <v>2.5180167041228998</v>
      </c>
      <c r="C133" s="11">
        <v>1.0783043868673701</v>
      </c>
      <c r="D133" s="11"/>
      <c r="E133" s="11">
        <v>28.6083439698</v>
      </c>
      <c r="F133" s="11"/>
      <c r="G133" s="11">
        <v>32.204665060790269</v>
      </c>
      <c r="H133" s="11"/>
      <c r="I133" s="914">
        <f>+SUM(B134:B$501)</f>
        <v>1696.4604719416973</v>
      </c>
      <c r="J133" s="914">
        <f>+SUM(C134:C$501)</f>
        <v>483.71618771077215</v>
      </c>
      <c r="K133" s="914">
        <f t="shared" si="12"/>
        <v>2180.1766596524694</v>
      </c>
      <c r="L133" s="914">
        <f>+SUM(D134:D$501)</f>
        <v>177.09189201972788</v>
      </c>
      <c r="M133" s="914">
        <f>+SUM(E134:E$501)</f>
        <v>8471.933952400821</v>
      </c>
      <c r="N133" s="914">
        <f>+SUM(F134:F$501)</f>
        <v>16.222817714093303</v>
      </c>
      <c r="O133" s="914">
        <f>+SUM(G134:G$501)</f>
        <v>10845.425321787105</v>
      </c>
      <c r="P133" s="11">
        <f t="shared" si="13"/>
        <v>28.6083439698</v>
      </c>
      <c r="Q133" s="913">
        <f t="shared" si="14"/>
        <v>0</v>
      </c>
      <c r="R133" s="11">
        <f t="shared" si="15"/>
        <v>1.6900169761500002E-2</v>
      </c>
      <c r="S133" s="913">
        <f t="shared" si="16"/>
        <v>115</v>
      </c>
    </row>
    <row r="134" spans="1:19" x14ac:dyDescent="0.2">
      <c r="A134" s="11">
        <f t="shared" ref="A134:A197" si="17">1+A133</f>
        <v>132</v>
      </c>
      <c r="B134" s="11">
        <v>2.6218603735679999</v>
      </c>
      <c r="C134" s="11">
        <v>0.76030474443399998</v>
      </c>
      <c r="D134" s="11"/>
      <c r="E134" s="11">
        <v>29.792473040899999</v>
      </c>
      <c r="F134" s="11"/>
      <c r="G134" s="11">
        <v>33.174638158901999</v>
      </c>
      <c r="H134" s="11"/>
      <c r="I134" s="914">
        <f>+SUM(B135:B$501)</f>
        <v>1693.8386115681292</v>
      </c>
      <c r="J134" s="914">
        <f>+SUM(C135:C$501)</f>
        <v>482.95588296633809</v>
      </c>
      <c r="K134" s="914">
        <f t="shared" si="12"/>
        <v>2176.794494534467</v>
      </c>
      <c r="L134" s="914">
        <f>+SUM(D135:D$501)</f>
        <v>177.09189201972788</v>
      </c>
      <c r="M134" s="914">
        <f>+SUM(E135:E$501)</f>
        <v>8442.1414793599215</v>
      </c>
      <c r="N134" s="914">
        <f>+SUM(F135:F$501)</f>
        <v>16.222817714093303</v>
      </c>
      <c r="O134" s="914">
        <f>+SUM(G135:G$501)</f>
        <v>10812.250683628205</v>
      </c>
      <c r="P134" s="11">
        <f t="shared" si="13"/>
        <v>29.792473040899999</v>
      </c>
      <c r="Q134" s="913">
        <f t="shared" si="14"/>
        <v>0</v>
      </c>
      <c r="R134" s="11">
        <f t="shared" si="15"/>
        <v>1.6900169761500002E-2</v>
      </c>
      <c r="S134" s="913">
        <f t="shared" si="16"/>
        <v>114</v>
      </c>
    </row>
    <row r="135" spans="1:19" x14ac:dyDescent="0.2">
      <c r="A135" s="11">
        <f t="shared" si="17"/>
        <v>133</v>
      </c>
      <c r="B135" s="11">
        <v>0.99063044395200006</v>
      </c>
      <c r="C135" s="11">
        <v>0.88273065646000004</v>
      </c>
      <c r="D135" s="11"/>
      <c r="E135" s="11">
        <v>31.671097625200002</v>
      </c>
      <c r="F135" s="11"/>
      <c r="G135" s="11">
        <v>33.544458725612003</v>
      </c>
      <c r="H135" s="11"/>
      <c r="I135" s="914">
        <f>+SUM(B136:B$501)</f>
        <v>1692.8479811241773</v>
      </c>
      <c r="J135" s="914">
        <f>+SUM(C136:C$501)</f>
        <v>482.07315230987808</v>
      </c>
      <c r="K135" s="914">
        <f t="shared" si="12"/>
        <v>2174.9211334340553</v>
      </c>
      <c r="L135" s="914">
        <f>+SUM(D136:D$501)</f>
        <v>177.09189201972788</v>
      </c>
      <c r="M135" s="914">
        <f>+SUM(E136:E$501)</f>
        <v>8410.4703817347199</v>
      </c>
      <c r="N135" s="914">
        <f>+SUM(F136:F$501)</f>
        <v>16.222817714093303</v>
      </c>
      <c r="O135" s="914">
        <f>+SUM(G136:G$501)</f>
        <v>10778.706224902591</v>
      </c>
      <c r="P135" s="11">
        <f t="shared" si="13"/>
        <v>31.671097625200002</v>
      </c>
      <c r="Q135" s="913">
        <f t="shared" si="14"/>
        <v>0</v>
      </c>
      <c r="R135" s="11">
        <f t="shared" si="15"/>
        <v>1.6900169761500002E-2</v>
      </c>
      <c r="S135" s="913">
        <f t="shared" si="16"/>
        <v>113</v>
      </c>
    </row>
    <row r="136" spans="1:19" x14ac:dyDescent="0.2">
      <c r="A136" s="11">
        <f t="shared" si="17"/>
        <v>134</v>
      </c>
      <c r="B136" s="11">
        <v>0.79196246972200002</v>
      </c>
      <c r="C136" s="11">
        <v>0.60477901866399997</v>
      </c>
      <c r="D136" s="11"/>
      <c r="E136" s="11">
        <v>32.245978264800002</v>
      </c>
      <c r="F136" s="11"/>
      <c r="G136" s="11">
        <v>33.642719753186</v>
      </c>
      <c r="H136" s="11"/>
      <c r="I136" s="914">
        <f>+SUM(B137:B$501)</f>
        <v>1692.0560186544551</v>
      </c>
      <c r="J136" s="914">
        <f>+SUM(C137:C$501)</f>
        <v>481.46837329121411</v>
      </c>
      <c r="K136" s="914">
        <f t="shared" si="12"/>
        <v>2173.5243919456693</v>
      </c>
      <c r="L136" s="914">
        <f>+SUM(D137:D$501)</f>
        <v>177.09189201972788</v>
      </c>
      <c r="M136" s="914">
        <f>+SUM(E137:E$501)</f>
        <v>8378.2244034699215</v>
      </c>
      <c r="N136" s="914">
        <f>+SUM(F137:F$501)</f>
        <v>16.222817714093303</v>
      </c>
      <c r="O136" s="914">
        <f>+SUM(G137:G$501)</f>
        <v>10745.063505149406</v>
      </c>
      <c r="P136" s="11">
        <f t="shared" si="13"/>
        <v>32.245978264800002</v>
      </c>
      <c r="Q136" s="913">
        <f t="shared" si="14"/>
        <v>0</v>
      </c>
      <c r="R136" s="11">
        <f t="shared" si="15"/>
        <v>1.6900169761500002E-2</v>
      </c>
      <c r="S136" s="913">
        <f t="shared" si="16"/>
        <v>112</v>
      </c>
    </row>
    <row r="137" spans="1:19" x14ac:dyDescent="0.2">
      <c r="A137" s="11">
        <f t="shared" si="17"/>
        <v>135</v>
      </c>
      <c r="B137" s="11">
        <v>1.1811339727800001</v>
      </c>
      <c r="C137" s="11"/>
      <c r="D137" s="11"/>
      <c r="E137" s="11">
        <v>31.6305513595</v>
      </c>
      <c r="F137" s="11"/>
      <c r="G137" s="11">
        <v>32.81168533228</v>
      </c>
      <c r="H137" s="11"/>
      <c r="I137" s="914">
        <f>+SUM(B138:B$501)</f>
        <v>1690.8748846816752</v>
      </c>
      <c r="J137" s="914">
        <f>+SUM(C138:C$501)</f>
        <v>481.46837329121411</v>
      </c>
      <c r="K137" s="914">
        <f t="shared" si="12"/>
        <v>2172.3432579728892</v>
      </c>
      <c r="L137" s="914">
        <f>+SUM(D138:D$501)</f>
        <v>177.09189201972788</v>
      </c>
      <c r="M137" s="914">
        <f>+SUM(E138:E$501)</f>
        <v>8346.5938521104217</v>
      </c>
      <c r="N137" s="914">
        <f>+SUM(F138:F$501)</f>
        <v>16.222817714093303</v>
      </c>
      <c r="O137" s="914">
        <f>+SUM(G138:G$501)</f>
        <v>10712.251819817127</v>
      </c>
      <c r="P137" s="11">
        <f t="shared" si="13"/>
        <v>31.6305513595</v>
      </c>
      <c r="Q137" s="913">
        <f t="shared" si="14"/>
        <v>0</v>
      </c>
      <c r="R137" s="11">
        <f t="shared" si="15"/>
        <v>1.6900169761500002E-2</v>
      </c>
      <c r="S137" s="913">
        <f t="shared" si="16"/>
        <v>111</v>
      </c>
    </row>
    <row r="138" spans="1:19" x14ac:dyDescent="0.2">
      <c r="A138" s="11">
        <f t="shared" si="17"/>
        <v>136</v>
      </c>
      <c r="B138" s="11">
        <v>1.5504558732055997</v>
      </c>
      <c r="C138" s="11">
        <v>8.0077649820100004E-5</v>
      </c>
      <c r="D138" s="11"/>
      <c r="E138" s="11">
        <v>30.5974861065</v>
      </c>
      <c r="F138" s="11"/>
      <c r="G138" s="11">
        <v>32.148022057355419</v>
      </c>
      <c r="H138" s="11"/>
      <c r="I138" s="914">
        <f>+SUM(B139:B$501)</f>
        <v>1689.3244288084695</v>
      </c>
      <c r="J138" s="914">
        <f>+SUM(C139:C$501)</f>
        <v>481.46829321356427</v>
      </c>
      <c r="K138" s="914">
        <f t="shared" si="12"/>
        <v>2170.7927220220336</v>
      </c>
      <c r="L138" s="914">
        <f>+SUM(D139:D$501)</f>
        <v>177.09189201972788</v>
      </c>
      <c r="M138" s="914">
        <f>+SUM(E139:E$501)</f>
        <v>8315.996366003923</v>
      </c>
      <c r="N138" s="914">
        <f>+SUM(F139:F$501)</f>
        <v>16.222817714093303</v>
      </c>
      <c r="O138" s="914">
        <f>+SUM(G139:G$501)</f>
        <v>10680.10379775977</v>
      </c>
      <c r="P138" s="11">
        <f t="shared" si="13"/>
        <v>30.5974861065</v>
      </c>
      <c r="Q138" s="913">
        <f t="shared" si="14"/>
        <v>0</v>
      </c>
      <c r="R138" s="11">
        <f t="shared" si="15"/>
        <v>1.6900169761500002E-2</v>
      </c>
      <c r="S138" s="913">
        <f t="shared" si="16"/>
        <v>110</v>
      </c>
    </row>
    <row r="139" spans="1:19" x14ac:dyDescent="0.2">
      <c r="A139" s="11">
        <f t="shared" si="17"/>
        <v>137</v>
      </c>
      <c r="B139" s="11">
        <v>1.7728315886939998</v>
      </c>
      <c r="C139" s="11"/>
      <c r="D139" s="11"/>
      <c r="E139" s="11">
        <v>29.569118125999999</v>
      </c>
      <c r="F139" s="11"/>
      <c r="G139" s="11">
        <v>31.341949714694</v>
      </c>
      <c r="H139" s="11"/>
      <c r="I139" s="914">
        <f>+SUM(B140:B$501)</f>
        <v>1687.5515972197757</v>
      </c>
      <c r="J139" s="914">
        <f>+SUM(C140:C$501)</f>
        <v>481.46829321356427</v>
      </c>
      <c r="K139" s="914">
        <f t="shared" si="12"/>
        <v>2169.0198904333402</v>
      </c>
      <c r="L139" s="914">
        <f>+SUM(D140:D$501)</f>
        <v>177.09189201972788</v>
      </c>
      <c r="M139" s="914">
        <f>+SUM(E140:E$501)</f>
        <v>8286.4272478779221</v>
      </c>
      <c r="N139" s="914">
        <f>+SUM(F140:F$501)</f>
        <v>16.222817714093303</v>
      </c>
      <c r="O139" s="914">
        <f>+SUM(G140:G$501)</f>
        <v>10648.761848045076</v>
      </c>
      <c r="P139" s="11">
        <f t="shared" si="13"/>
        <v>29.569118125999999</v>
      </c>
      <c r="Q139" s="913">
        <f t="shared" si="14"/>
        <v>0</v>
      </c>
      <c r="R139" s="11">
        <f t="shared" si="15"/>
        <v>1.6900169761500002E-2</v>
      </c>
      <c r="S139" s="913">
        <f t="shared" si="16"/>
        <v>109</v>
      </c>
    </row>
    <row r="140" spans="1:19" x14ac:dyDescent="0.2">
      <c r="A140" s="11">
        <f t="shared" si="17"/>
        <v>138</v>
      </c>
      <c r="B140" s="11">
        <v>1.4441394660235001</v>
      </c>
      <c r="C140" s="11"/>
      <c r="D140" s="11"/>
      <c r="E140" s="11">
        <v>27.958942112799999</v>
      </c>
      <c r="F140" s="11"/>
      <c r="G140" s="11">
        <v>29.4030815788235</v>
      </c>
      <c r="H140" s="11"/>
      <c r="I140" s="914">
        <f>+SUM(B141:B$501)</f>
        <v>1686.107457753752</v>
      </c>
      <c r="J140" s="914">
        <f>+SUM(C141:C$501)</f>
        <v>481.46829321356427</v>
      </c>
      <c r="K140" s="914">
        <f t="shared" si="12"/>
        <v>2167.5757509673163</v>
      </c>
      <c r="L140" s="914">
        <f>+SUM(D141:D$501)</f>
        <v>177.09189201972788</v>
      </c>
      <c r="M140" s="914">
        <f>+SUM(E141:E$501)</f>
        <v>8258.4683057651218</v>
      </c>
      <c r="N140" s="914">
        <f>+SUM(F141:F$501)</f>
        <v>16.222817714093303</v>
      </c>
      <c r="O140" s="914">
        <f>+SUM(G141:G$501)</f>
        <v>10619.358766466255</v>
      </c>
      <c r="P140" s="11">
        <f t="shared" si="13"/>
        <v>27.958942112799999</v>
      </c>
      <c r="Q140" s="913">
        <f t="shared" si="14"/>
        <v>0</v>
      </c>
      <c r="R140" s="11">
        <f t="shared" si="15"/>
        <v>1.6900169761500002E-2</v>
      </c>
      <c r="S140" s="913">
        <f t="shared" si="16"/>
        <v>108</v>
      </c>
    </row>
    <row r="141" spans="1:19" x14ac:dyDescent="0.2">
      <c r="A141" s="11">
        <f t="shared" si="17"/>
        <v>139</v>
      </c>
      <c r="B141" s="11">
        <v>1.5504730913788001</v>
      </c>
      <c r="C141" s="11"/>
      <c r="D141" s="11"/>
      <c r="E141" s="11">
        <v>26.106192656400001</v>
      </c>
      <c r="F141" s="11"/>
      <c r="G141" s="11">
        <v>27.656665747778803</v>
      </c>
      <c r="H141" s="11"/>
      <c r="I141" s="914">
        <f>+SUM(B142:B$501)</f>
        <v>1684.5569846623732</v>
      </c>
      <c r="J141" s="914">
        <f>+SUM(C142:C$501)</f>
        <v>481.46829321356427</v>
      </c>
      <c r="K141" s="914">
        <f t="shared" si="12"/>
        <v>2166.0252778759377</v>
      </c>
      <c r="L141" s="914">
        <f>+SUM(D142:D$501)</f>
        <v>177.09189201972788</v>
      </c>
      <c r="M141" s="914">
        <f>+SUM(E142:E$501)</f>
        <v>8232.362113108722</v>
      </c>
      <c r="N141" s="914">
        <f>+SUM(F142:F$501)</f>
        <v>16.222817714093303</v>
      </c>
      <c r="O141" s="914">
        <f>+SUM(G142:G$501)</f>
        <v>10591.702100718474</v>
      </c>
      <c r="P141" s="11">
        <f t="shared" si="13"/>
        <v>26.106192656400001</v>
      </c>
      <c r="Q141" s="913">
        <f t="shared" si="14"/>
        <v>0</v>
      </c>
      <c r="R141" s="11">
        <f t="shared" si="15"/>
        <v>1.6900169761500002E-2</v>
      </c>
      <c r="S141" s="913">
        <f t="shared" si="16"/>
        <v>107</v>
      </c>
    </row>
    <row r="142" spans="1:19" x14ac:dyDescent="0.2">
      <c r="A142" s="11">
        <f t="shared" si="17"/>
        <v>140</v>
      </c>
      <c r="B142" s="11">
        <v>1.7257674474539999</v>
      </c>
      <c r="C142" s="11"/>
      <c r="D142" s="11"/>
      <c r="E142" s="11">
        <v>23.8359642315</v>
      </c>
      <c r="F142" s="11"/>
      <c r="G142" s="11">
        <v>25.561731678954001</v>
      </c>
      <c r="H142" s="11"/>
      <c r="I142" s="914">
        <f>+SUM(B143:B$501)</f>
        <v>1682.8312172149194</v>
      </c>
      <c r="J142" s="914">
        <f>+SUM(C143:C$501)</f>
        <v>481.46829321356427</v>
      </c>
      <c r="K142" s="914">
        <f t="shared" si="12"/>
        <v>2164.2995104284837</v>
      </c>
      <c r="L142" s="914">
        <f>+SUM(D143:D$501)</f>
        <v>177.09189201972788</v>
      </c>
      <c r="M142" s="914">
        <f>+SUM(E143:E$501)</f>
        <v>8208.526148877223</v>
      </c>
      <c r="N142" s="914">
        <f>+SUM(F143:F$501)</f>
        <v>16.222817714093303</v>
      </c>
      <c r="O142" s="914">
        <f>+SUM(G143:G$501)</f>
        <v>10566.14036903952</v>
      </c>
      <c r="P142" s="11">
        <f t="shared" si="13"/>
        <v>23.8359642315</v>
      </c>
      <c r="Q142" s="913">
        <f t="shared" si="14"/>
        <v>0</v>
      </c>
      <c r="R142" s="11">
        <f t="shared" si="15"/>
        <v>1.6900169761500002E-2</v>
      </c>
      <c r="S142" s="913">
        <f t="shared" si="16"/>
        <v>106</v>
      </c>
    </row>
    <row r="143" spans="1:19" x14ac:dyDescent="0.2">
      <c r="A143" s="11">
        <f t="shared" si="17"/>
        <v>141</v>
      </c>
      <c r="B143" s="11">
        <v>1.4034806975971001</v>
      </c>
      <c r="C143" s="11"/>
      <c r="D143" s="11"/>
      <c r="E143" s="11">
        <v>22.18268056357169</v>
      </c>
      <c r="F143" s="11"/>
      <c r="G143" s="11">
        <v>23.58616126116879</v>
      </c>
      <c r="H143" s="11"/>
      <c r="I143" s="914">
        <f>+SUM(B144:B$501)</f>
        <v>1681.4277365173223</v>
      </c>
      <c r="J143" s="914">
        <f>+SUM(C144:C$501)</f>
        <v>481.46829321356427</v>
      </c>
      <c r="K143" s="914">
        <f t="shared" si="12"/>
        <v>2162.8960297308868</v>
      </c>
      <c r="L143" s="914">
        <f>+SUM(D144:D$501)</f>
        <v>177.09189201972788</v>
      </c>
      <c r="M143" s="914">
        <f>+SUM(E144:E$501)</f>
        <v>8186.343468313652</v>
      </c>
      <c r="N143" s="914">
        <f>+SUM(F144:F$501)</f>
        <v>16.222817714093303</v>
      </c>
      <c r="O143" s="914">
        <f>+SUM(G144:G$501)</f>
        <v>10542.554207778354</v>
      </c>
      <c r="P143" s="11">
        <f t="shared" si="13"/>
        <v>22.18268056357169</v>
      </c>
      <c r="Q143" s="913">
        <f t="shared" si="14"/>
        <v>0</v>
      </c>
      <c r="R143" s="11">
        <f t="shared" si="15"/>
        <v>1.6900169761500002E-2</v>
      </c>
      <c r="S143" s="913">
        <f t="shared" si="16"/>
        <v>105</v>
      </c>
    </row>
    <row r="144" spans="1:19" x14ac:dyDescent="0.2">
      <c r="A144" s="11">
        <f t="shared" si="17"/>
        <v>142</v>
      </c>
      <c r="B144" s="11">
        <v>1.990141920993</v>
      </c>
      <c r="C144" s="11"/>
      <c r="D144" s="11"/>
      <c r="E144" s="11">
        <v>18.516920114476097</v>
      </c>
      <c r="F144" s="11"/>
      <c r="G144" s="11">
        <v>20.507062035469097</v>
      </c>
      <c r="H144" s="11"/>
      <c r="I144" s="914">
        <f>+SUM(B145:B$501)</f>
        <v>1679.4375945963293</v>
      </c>
      <c r="J144" s="914">
        <f>+SUM(C145:C$501)</f>
        <v>481.46829321356427</v>
      </c>
      <c r="K144" s="914">
        <f t="shared" si="12"/>
        <v>2160.9058878098936</v>
      </c>
      <c r="L144" s="914">
        <f>+SUM(D145:D$501)</f>
        <v>177.09189201972788</v>
      </c>
      <c r="M144" s="914">
        <f>+SUM(E145:E$501)</f>
        <v>8167.8265481991757</v>
      </c>
      <c r="N144" s="914">
        <f>+SUM(F145:F$501)</f>
        <v>16.222817714093303</v>
      </c>
      <c r="O144" s="914">
        <f>+SUM(G145:G$501)</f>
        <v>10522.047145742883</v>
      </c>
      <c r="P144" s="11">
        <f t="shared" si="13"/>
        <v>18.516920114476097</v>
      </c>
      <c r="Q144" s="913">
        <f t="shared" si="14"/>
        <v>0</v>
      </c>
      <c r="R144" s="11">
        <f t="shared" si="15"/>
        <v>1.6900169761500002E-2</v>
      </c>
      <c r="S144" s="913">
        <f t="shared" si="16"/>
        <v>104</v>
      </c>
    </row>
    <row r="145" spans="1:19" x14ac:dyDescent="0.2">
      <c r="A145" s="11">
        <f t="shared" si="17"/>
        <v>143</v>
      </c>
      <c r="B145" s="11">
        <v>1.1362018990740801</v>
      </c>
      <c r="C145" s="11"/>
      <c r="D145" s="11">
        <v>0.21496637224500001</v>
      </c>
      <c r="E145" s="11">
        <v>17.724181366362711</v>
      </c>
      <c r="F145" s="11"/>
      <c r="G145" s="11">
        <v>19.075349637681789</v>
      </c>
      <c r="H145" s="11"/>
      <c r="I145" s="914">
        <f>+SUM(B146:B$501)</f>
        <v>1678.3013926972551</v>
      </c>
      <c r="J145" s="914">
        <f>+SUM(C146:C$501)</f>
        <v>481.46829321356427</v>
      </c>
      <c r="K145" s="914">
        <f t="shared" si="12"/>
        <v>2159.7696859108191</v>
      </c>
      <c r="L145" s="914">
        <f>+SUM(D146:D$501)</f>
        <v>176.87692564748289</v>
      </c>
      <c r="M145" s="914">
        <f>+SUM(E146:E$501)</f>
        <v>8150.1023668328135</v>
      </c>
      <c r="N145" s="914">
        <f>+SUM(F146:F$501)</f>
        <v>16.222817714093303</v>
      </c>
      <c r="O145" s="914">
        <f>+SUM(G146:G$501)</f>
        <v>10502.971796105201</v>
      </c>
      <c r="P145" s="11">
        <f t="shared" si="13"/>
        <v>17.724181366362711</v>
      </c>
      <c r="Q145" s="913">
        <f t="shared" si="14"/>
        <v>0</v>
      </c>
      <c r="R145" s="11">
        <f t="shared" si="15"/>
        <v>1.6900169761500002E-2</v>
      </c>
      <c r="S145" s="913">
        <f t="shared" si="16"/>
        <v>103</v>
      </c>
    </row>
    <row r="146" spans="1:19" x14ac:dyDescent="0.2">
      <c r="A146" s="11">
        <f t="shared" si="17"/>
        <v>144</v>
      </c>
      <c r="B146" s="11">
        <v>2.3338361666790002</v>
      </c>
      <c r="C146" s="11"/>
      <c r="D146" s="11">
        <v>0.112664102504</v>
      </c>
      <c r="E146" s="11">
        <v>17.233608754700001</v>
      </c>
      <c r="F146" s="11"/>
      <c r="G146" s="11">
        <v>19.680109023883002</v>
      </c>
      <c r="H146" s="11"/>
      <c r="I146" s="914">
        <f>+SUM(B147:B$501)</f>
        <v>1675.9675565305763</v>
      </c>
      <c r="J146" s="914">
        <f>+SUM(C147:C$501)</f>
        <v>481.46829321356427</v>
      </c>
      <c r="K146" s="914">
        <f t="shared" si="12"/>
        <v>2157.4358497441408</v>
      </c>
      <c r="L146" s="914">
        <f>+SUM(D147:D$501)</f>
        <v>176.76426154497889</v>
      </c>
      <c r="M146" s="914">
        <f>+SUM(E147:E$501)</f>
        <v>8132.8687580781143</v>
      </c>
      <c r="N146" s="914">
        <f>+SUM(F147:F$501)</f>
        <v>16.222817714093303</v>
      </c>
      <c r="O146" s="914">
        <f>+SUM(G147:G$501)</f>
        <v>10483.291687081317</v>
      </c>
      <c r="P146" s="11">
        <f t="shared" si="13"/>
        <v>17.233608754700001</v>
      </c>
      <c r="Q146" s="913">
        <f t="shared" si="14"/>
        <v>0</v>
      </c>
      <c r="R146" s="11">
        <f t="shared" si="15"/>
        <v>1.6900169761500002E-2</v>
      </c>
      <c r="S146" s="913">
        <f t="shared" si="16"/>
        <v>102</v>
      </c>
    </row>
    <row r="147" spans="1:19" x14ac:dyDescent="0.2">
      <c r="A147" s="11">
        <f t="shared" si="17"/>
        <v>145</v>
      </c>
      <c r="B147" s="11">
        <v>2.0625875905926501</v>
      </c>
      <c r="C147" s="11"/>
      <c r="D147" s="11">
        <v>8.8230669738400005E-2</v>
      </c>
      <c r="E147" s="11">
        <v>20.704853736</v>
      </c>
      <c r="F147" s="11"/>
      <c r="G147" s="11">
        <v>22.855671996331051</v>
      </c>
      <c r="H147" s="11"/>
      <c r="I147" s="914">
        <f>+SUM(B148:B$501)</f>
        <v>1673.9049689399837</v>
      </c>
      <c r="J147" s="914">
        <f>+SUM(C148:C$501)</f>
        <v>481.46829321356427</v>
      </c>
      <c r="K147" s="914">
        <f t="shared" si="12"/>
        <v>2155.3732621535482</v>
      </c>
      <c r="L147" s="914">
        <f>+SUM(D148:D$501)</f>
        <v>176.67603087524051</v>
      </c>
      <c r="M147" s="914">
        <f>+SUM(E148:E$501)</f>
        <v>8112.1639043421119</v>
      </c>
      <c r="N147" s="914">
        <f>+SUM(F148:F$501)</f>
        <v>16.222817714093303</v>
      </c>
      <c r="O147" s="914">
        <f>+SUM(G148:G$501)</f>
        <v>10460.43601508499</v>
      </c>
      <c r="P147" s="11">
        <f t="shared" si="13"/>
        <v>20.704853736</v>
      </c>
      <c r="Q147" s="913">
        <f t="shared" si="14"/>
        <v>0</v>
      </c>
      <c r="R147" s="11">
        <f t="shared" si="15"/>
        <v>1.6900169761500002E-2</v>
      </c>
      <c r="S147" s="913">
        <f t="shared" si="16"/>
        <v>101</v>
      </c>
    </row>
    <row r="148" spans="1:19" x14ac:dyDescent="0.2">
      <c r="A148" s="11">
        <f t="shared" si="17"/>
        <v>146</v>
      </c>
      <c r="B148" s="11">
        <v>3.9311223978544398</v>
      </c>
      <c r="C148" s="11"/>
      <c r="D148" s="11">
        <v>7.9051399273399992E-2</v>
      </c>
      <c r="E148" s="11">
        <v>23.455196208299999</v>
      </c>
      <c r="F148" s="11"/>
      <c r="G148" s="11">
        <v>27.46537000542784</v>
      </c>
      <c r="H148" s="11"/>
      <c r="I148" s="914">
        <f>+SUM(B149:B$501)</f>
        <v>1669.9738465421292</v>
      </c>
      <c r="J148" s="914">
        <f>+SUM(C149:C$501)</f>
        <v>481.46829321356427</v>
      </c>
      <c r="K148" s="914">
        <f t="shared" si="12"/>
        <v>2151.4421397556935</v>
      </c>
      <c r="L148" s="914">
        <f>+SUM(D149:D$501)</f>
        <v>176.59697947596709</v>
      </c>
      <c r="M148" s="914">
        <f>+SUM(E149:E$501)</f>
        <v>8088.7087081338132</v>
      </c>
      <c r="N148" s="914">
        <f>+SUM(F149:F$501)</f>
        <v>16.222817714093303</v>
      </c>
      <c r="O148" s="914">
        <f>+SUM(G149:G$501)</f>
        <v>10432.97064507956</v>
      </c>
      <c r="P148" s="11">
        <f t="shared" si="13"/>
        <v>23.455196208299999</v>
      </c>
      <c r="Q148" s="913">
        <f t="shared" si="14"/>
        <v>0</v>
      </c>
      <c r="R148" s="11">
        <f t="shared" si="15"/>
        <v>1.6900169761500002E-2</v>
      </c>
      <c r="S148" s="913">
        <f t="shared" si="16"/>
        <v>100</v>
      </c>
    </row>
    <row r="149" spans="1:19" x14ac:dyDescent="0.2">
      <c r="A149" s="11">
        <f t="shared" si="17"/>
        <v>147</v>
      </c>
      <c r="B149" s="11">
        <v>6.8434648860835008</v>
      </c>
      <c r="C149" s="11"/>
      <c r="D149" s="11">
        <v>5.3266628641900002E-2</v>
      </c>
      <c r="E149" s="11">
        <v>26.803327490165699</v>
      </c>
      <c r="F149" s="11"/>
      <c r="G149" s="11">
        <v>33.700059004891102</v>
      </c>
      <c r="H149" s="11"/>
      <c r="I149" s="914">
        <f>+SUM(B150:B$501)</f>
        <v>1663.1303816560455</v>
      </c>
      <c r="J149" s="914">
        <f>+SUM(C150:C$501)</f>
        <v>481.46829321356427</v>
      </c>
      <c r="K149" s="914">
        <f t="shared" si="12"/>
        <v>2144.5986748696096</v>
      </c>
      <c r="L149" s="914">
        <f>+SUM(D150:D$501)</f>
        <v>176.5437128473252</v>
      </c>
      <c r="M149" s="914">
        <f>+SUM(E150:E$501)</f>
        <v>8061.9053806436468</v>
      </c>
      <c r="N149" s="914">
        <f>+SUM(F150:F$501)</f>
        <v>16.222817714093303</v>
      </c>
      <c r="O149" s="914">
        <f>+SUM(G150:G$501)</f>
        <v>10399.270586074668</v>
      </c>
      <c r="P149" s="11">
        <f t="shared" si="13"/>
        <v>26.803327490165699</v>
      </c>
      <c r="Q149" s="913">
        <f t="shared" si="14"/>
        <v>0</v>
      </c>
      <c r="R149" s="11">
        <f t="shared" si="15"/>
        <v>1.6900169761500002E-2</v>
      </c>
      <c r="S149" s="913">
        <f t="shared" si="16"/>
        <v>99</v>
      </c>
    </row>
    <row r="150" spans="1:19" x14ac:dyDescent="0.2">
      <c r="A150" s="11">
        <f t="shared" si="17"/>
        <v>148</v>
      </c>
      <c r="B150" s="11">
        <v>4.1480430131460002</v>
      </c>
      <c r="C150" s="11"/>
      <c r="D150" s="11"/>
      <c r="E150" s="11">
        <v>32.555307345088004</v>
      </c>
      <c r="F150" s="11"/>
      <c r="G150" s="11">
        <v>36.703350358234005</v>
      </c>
      <c r="H150" s="11"/>
      <c r="I150" s="914">
        <f>+SUM(B151:B$501)</f>
        <v>1658.9823386428998</v>
      </c>
      <c r="J150" s="914">
        <f>+SUM(C151:C$501)</f>
        <v>481.46829321356427</v>
      </c>
      <c r="K150" s="914">
        <f t="shared" si="12"/>
        <v>2140.450631856464</v>
      </c>
      <c r="L150" s="914">
        <f>+SUM(D151:D$501)</f>
        <v>176.5437128473252</v>
      </c>
      <c r="M150" s="914">
        <f>+SUM(E151:E$501)</f>
        <v>8029.3500732985603</v>
      </c>
      <c r="N150" s="914">
        <f>+SUM(F151:F$501)</f>
        <v>16.222817714093303</v>
      </c>
      <c r="O150" s="914">
        <f>+SUM(G151:G$501)</f>
        <v>10362.567235716433</v>
      </c>
      <c r="P150" s="11">
        <f t="shared" si="13"/>
        <v>32.555307345088004</v>
      </c>
      <c r="Q150" s="913">
        <f t="shared" si="14"/>
        <v>0</v>
      </c>
      <c r="R150" s="11">
        <f t="shared" si="15"/>
        <v>1.6900169761500002E-2</v>
      </c>
      <c r="S150" s="913">
        <f t="shared" si="16"/>
        <v>98</v>
      </c>
    </row>
    <row r="151" spans="1:19" x14ac:dyDescent="0.2">
      <c r="A151" s="11">
        <f t="shared" si="17"/>
        <v>149</v>
      </c>
      <c r="B151" s="11">
        <v>2.0795061640448997</v>
      </c>
      <c r="C151" s="11">
        <v>0.30602232917580002</v>
      </c>
      <c r="D151" s="11"/>
      <c r="E151" s="11">
        <v>37.169342910399997</v>
      </c>
      <c r="F151" s="11"/>
      <c r="G151" s="11">
        <v>39.554871403620695</v>
      </c>
      <c r="H151" s="11"/>
      <c r="I151" s="914">
        <f>+SUM(B152:B$501)</f>
        <v>1656.9028324788549</v>
      </c>
      <c r="J151" s="914">
        <f>+SUM(C152:C$501)</f>
        <v>481.16227088438848</v>
      </c>
      <c r="K151" s="914">
        <f t="shared" si="12"/>
        <v>2138.0651033632435</v>
      </c>
      <c r="L151" s="914">
        <f>+SUM(D152:D$501)</f>
        <v>176.5437128473252</v>
      </c>
      <c r="M151" s="914">
        <f>+SUM(E152:E$501)</f>
        <v>7992.1807303881606</v>
      </c>
      <c r="N151" s="914">
        <f>+SUM(F152:F$501)</f>
        <v>16.222817714093303</v>
      </c>
      <c r="O151" s="914">
        <f>+SUM(G152:G$501)</f>
        <v>10323.012364312814</v>
      </c>
      <c r="P151" s="11">
        <f t="shared" si="13"/>
        <v>37.169342910399997</v>
      </c>
      <c r="Q151" s="913">
        <f t="shared" si="14"/>
        <v>0</v>
      </c>
      <c r="R151" s="11">
        <f t="shared" si="15"/>
        <v>1.6900169761500002E-2</v>
      </c>
      <c r="S151" s="913">
        <f t="shared" si="16"/>
        <v>97</v>
      </c>
    </row>
    <row r="152" spans="1:19" x14ac:dyDescent="0.2">
      <c r="A152" s="11">
        <f t="shared" si="17"/>
        <v>150</v>
      </c>
      <c r="B152" s="11">
        <v>3.3394660934088902</v>
      </c>
      <c r="C152" s="11">
        <v>1.7495918264300001</v>
      </c>
      <c r="D152" s="11"/>
      <c r="E152" s="11">
        <v>35.398649385459699</v>
      </c>
      <c r="F152" s="11"/>
      <c r="G152" s="11">
        <v>40.487707305298585</v>
      </c>
      <c r="H152" s="11"/>
      <c r="I152" s="914">
        <f>+SUM(B153:B$501)</f>
        <v>1653.563366385446</v>
      </c>
      <c r="J152" s="914">
        <f>+SUM(C153:C$501)</f>
        <v>479.41267905795848</v>
      </c>
      <c r="K152" s="914">
        <f t="shared" si="12"/>
        <v>2132.9760454434045</v>
      </c>
      <c r="L152" s="914">
        <f>+SUM(D153:D$501)</f>
        <v>176.5437128473252</v>
      </c>
      <c r="M152" s="914">
        <f>+SUM(E153:E$501)</f>
        <v>7956.7820810026997</v>
      </c>
      <c r="N152" s="914">
        <f>+SUM(F153:F$501)</f>
        <v>16.222817714093303</v>
      </c>
      <c r="O152" s="914">
        <f>+SUM(G153:G$501)</f>
        <v>10282.524657007518</v>
      </c>
      <c r="P152" s="11">
        <f t="shared" si="13"/>
        <v>35.398649385459699</v>
      </c>
      <c r="Q152" s="913">
        <f t="shared" si="14"/>
        <v>0</v>
      </c>
      <c r="R152" s="11">
        <f t="shared" si="15"/>
        <v>1.6900169761500002E-2</v>
      </c>
      <c r="S152" s="913">
        <f t="shared" si="16"/>
        <v>96</v>
      </c>
    </row>
    <row r="153" spans="1:19" x14ac:dyDescent="0.2">
      <c r="A153" s="11">
        <f t="shared" si="17"/>
        <v>151</v>
      </c>
      <c r="B153" s="11">
        <v>5.2335810967013003</v>
      </c>
      <c r="C153" s="11">
        <v>0.80119488457599997</v>
      </c>
      <c r="D153" s="11">
        <v>9.4367058412600013E-2</v>
      </c>
      <c r="E153" s="11">
        <v>33.563827365583485</v>
      </c>
      <c r="F153" s="11"/>
      <c r="G153" s="11">
        <v>39.692970405273385</v>
      </c>
      <c r="H153" s="11"/>
      <c r="I153" s="914">
        <f>+SUM(B154:B$501)</f>
        <v>1648.3297852887447</v>
      </c>
      <c r="J153" s="914">
        <f>+SUM(C154:C$501)</f>
        <v>478.61148417338245</v>
      </c>
      <c r="K153" s="914">
        <f t="shared" si="12"/>
        <v>2126.9412694621269</v>
      </c>
      <c r="L153" s="914">
        <f>+SUM(D154:D$501)</f>
        <v>176.44934578891261</v>
      </c>
      <c r="M153" s="914">
        <f>+SUM(E154:E$501)</f>
        <v>7923.2182536371156</v>
      </c>
      <c r="N153" s="914">
        <f>+SUM(F154:F$501)</f>
        <v>16.222817714093303</v>
      </c>
      <c r="O153" s="914">
        <f>+SUM(G154:G$501)</f>
        <v>10242.831686602243</v>
      </c>
      <c r="P153" s="11">
        <f t="shared" si="13"/>
        <v>33.563827365583485</v>
      </c>
      <c r="Q153" s="913">
        <f t="shared" si="14"/>
        <v>0</v>
      </c>
      <c r="R153" s="11">
        <f t="shared" si="15"/>
        <v>1.6900169761500002E-2</v>
      </c>
      <c r="S153" s="913">
        <f t="shared" si="16"/>
        <v>95</v>
      </c>
    </row>
    <row r="154" spans="1:19" x14ac:dyDescent="0.2">
      <c r="A154" s="11">
        <f t="shared" si="17"/>
        <v>152</v>
      </c>
      <c r="B154" s="11">
        <v>3.6235779927689205</v>
      </c>
      <c r="C154" s="11">
        <v>0.26244782128260002</v>
      </c>
      <c r="D154" s="11">
        <v>0.17654163682000001</v>
      </c>
      <c r="E154" s="11">
        <v>33.543153446094657</v>
      </c>
      <c r="F154" s="11"/>
      <c r="G154" s="11">
        <v>37.605720896966176</v>
      </c>
      <c r="H154" s="11"/>
      <c r="I154" s="914">
        <f>+SUM(B155:B$501)</f>
        <v>1644.7062072959757</v>
      </c>
      <c r="J154" s="914">
        <f>+SUM(C155:C$501)</f>
        <v>478.3490363520998</v>
      </c>
      <c r="K154" s="914">
        <f t="shared" si="12"/>
        <v>2123.0552436480757</v>
      </c>
      <c r="L154" s="914">
        <f>+SUM(D155:D$501)</f>
        <v>176.27280415209262</v>
      </c>
      <c r="M154" s="914">
        <f>+SUM(E155:E$501)</f>
        <v>7889.6751001910225</v>
      </c>
      <c r="N154" s="914">
        <f>+SUM(F155:F$501)</f>
        <v>16.222817714093303</v>
      </c>
      <c r="O154" s="914">
        <f>+SUM(G155:G$501)</f>
        <v>10205.225965705275</v>
      </c>
      <c r="P154" s="11">
        <f t="shared" si="13"/>
        <v>33.543153446094657</v>
      </c>
      <c r="Q154" s="913">
        <f t="shared" si="14"/>
        <v>0</v>
      </c>
      <c r="R154" s="11">
        <f t="shared" si="15"/>
        <v>1.6900169761500002E-2</v>
      </c>
      <c r="S154" s="913">
        <f t="shared" si="16"/>
        <v>94</v>
      </c>
    </row>
    <row r="155" spans="1:19" x14ac:dyDescent="0.2">
      <c r="A155" s="11">
        <f t="shared" si="17"/>
        <v>153</v>
      </c>
      <c r="B155" s="11">
        <v>4.0300049772645403</v>
      </c>
      <c r="C155" s="11">
        <v>0.73617869489349996</v>
      </c>
      <c r="D155" s="11"/>
      <c r="E155" s="11">
        <v>31.130890273156002</v>
      </c>
      <c r="F155" s="11"/>
      <c r="G155" s="11">
        <v>35.897073945314041</v>
      </c>
      <c r="H155" s="11"/>
      <c r="I155" s="914">
        <f>+SUM(B156:B$501)</f>
        <v>1640.6762023187111</v>
      </c>
      <c r="J155" s="914">
        <f>+SUM(C156:C$501)</f>
        <v>477.61285765720629</v>
      </c>
      <c r="K155" s="914">
        <f t="shared" si="12"/>
        <v>2118.2890599759176</v>
      </c>
      <c r="L155" s="914">
        <f>+SUM(D156:D$501)</f>
        <v>176.27280415209262</v>
      </c>
      <c r="M155" s="914">
        <f>+SUM(E156:E$501)</f>
        <v>7858.5442099178645</v>
      </c>
      <c r="N155" s="914">
        <f>+SUM(F156:F$501)</f>
        <v>16.222817714093303</v>
      </c>
      <c r="O155" s="914">
        <f>+SUM(G156:G$501)</f>
        <v>10169.328891759964</v>
      </c>
      <c r="P155" s="11">
        <f t="shared" si="13"/>
        <v>31.130890273156002</v>
      </c>
      <c r="Q155" s="913">
        <f t="shared" si="14"/>
        <v>0</v>
      </c>
      <c r="R155" s="11">
        <f t="shared" si="15"/>
        <v>1.6900169761500002E-2</v>
      </c>
      <c r="S155" s="913">
        <f t="shared" si="16"/>
        <v>93</v>
      </c>
    </row>
    <row r="156" spans="1:19" x14ac:dyDescent="0.2">
      <c r="A156" s="11">
        <f t="shared" si="17"/>
        <v>154</v>
      </c>
      <c r="B156" s="11">
        <v>5.8319232186507008</v>
      </c>
      <c r="C156" s="11">
        <v>4.4189995396250001</v>
      </c>
      <c r="D156" s="11">
        <v>9.9009111871800004E-2</v>
      </c>
      <c r="E156" s="11">
        <v>31.3465141873953</v>
      </c>
      <c r="F156" s="11"/>
      <c r="G156" s="11">
        <v>41.696446057542801</v>
      </c>
      <c r="H156" s="11"/>
      <c r="I156" s="914">
        <f>+SUM(B157:B$501)</f>
        <v>1634.8442791000605</v>
      </c>
      <c r="J156" s="914">
        <f>+SUM(C157:C$501)</f>
        <v>473.19385811758127</v>
      </c>
      <c r="K156" s="914">
        <f t="shared" si="12"/>
        <v>2108.0381372176416</v>
      </c>
      <c r="L156" s="914">
        <f>+SUM(D157:D$501)</f>
        <v>176.17379504022082</v>
      </c>
      <c r="M156" s="914">
        <f>+SUM(E157:E$501)</f>
        <v>7827.1976957304696</v>
      </c>
      <c r="N156" s="914">
        <f>+SUM(F157:F$501)</f>
        <v>16.222817714093303</v>
      </c>
      <c r="O156" s="914">
        <f>+SUM(G157:G$501)</f>
        <v>10127.63244570242</v>
      </c>
      <c r="P156" s="11">
        <f t="shared" si="13"/>
        <v>31.3465141873953</v>
      </c>
      <c r="Q156" s="913">
        <f t="shared" si="14"/>
        <v>0</v>
      </c>
      <c r="R156" s="11">
        <f t="shared" si="15"/>
        <v>1.6900169761500002E-2</v>
      </c>
      <c r="S156" s="913">
        <f t="shared" si="16"/>
        <v>92</v>
      </c>
    </row>
    <row r="157" spans="1:19" x14ac:dyDescent="0.2">
      <c r="A157" s="11">
        <f t="shared" si="17"/>
        <v>155</v>
      </c>
      <c r="B157" s="11">
        <v>1.9579059742979998</v>
      </c>
      <c r="C157" s="11">
        <v>14.638920033006</v>
      </c>
      <c r="D157" s="11">
        <v>0.50111639332199998</v>
      </c>
      <c r="E157" s="11">
        <v>28.367385805973999</v>
      </c>
      <c r="F157" s="11"/>
      <c r="G157" s="11">
        <v>45.465328206599999</v>
      </c>
      <c r="H157" s="11"/>
      <c r="I157" s="914">
        <f>+SUM(B158:B$501)</f>
        <v>1632.8863731257625</v>
      </c>
      <c r="J157" s="914">
        <f>+SUM(C158:C$501)</f>
        <v>458.55493808457538</v>
      </c>
      <c r="K157" s="914">
        <f t="shared" si="12"/>
        <v>2091.441311210338</v>
      </c>
      <c r="L157" s="914">
        <f>+SUM(D158:D$501)</f>
        <v>175.67267864689882</v>
      </c>
      <c r="M157" s="914">
        <f>+SUM(E158:E$501)</f>
        <v>7798.8303099244959</v>
      </c>
      <c r="N157" s="914">
        <f>+SUM(F158:F$501)</f>
        <v>16.222817714093303</v>
      </c>
      <c r="O157" s="914">
        <f>+SUM(G158:G$501)</f>
        <v>10082.167117495821</v>
      </c>
      <c r="P157" s="11">
        <f t="shared" si="13"/>
        <v>28.367385805973999</v>
      </c>
      <c r="Q157" s="913">
        <f t="shared" si="14"/>
        <v>0</v>
      </c>
      <c r="R157" s="11">
        <f t="shared" si="15"/>
        <v>1.6900169761500002E-2</v>
      </c>
      <c r="S157" s="913">
        <f t="shared" si="16"/>
        <v>91</v>
      </c>
    </row>
    <row r="158" spans="1:19" x14ac:dyDescent="0.2">
      <c r="A158" s="11">
        <f t="shared" si="17"/>
        <v>156</v>
      </c>
      <c r="B158" s="11">
        <v>2.4924628016200003</v>
      </c>
      <c r="C158" s="11">
        <v>4.6401519841400001</v>
      </c>
      <c r="D158" s="11">
        <v>0.83313517995899999</v>
      </c>
      <c r="E158" s="11">
        <v>38.981579622118304</v>
      </c>
      <c r="F158" s="11"/>
      <c r="G158" s="11">
        <v>46.947329587837302</v>
      </c>
      <c r="H158" s="11"/>
      <c r="I158" s="914">
        <f>+SUM(B159:B$501)</f>
        <v>1630.3939103241426</v>
      </c>
      <c r="J158" s="914">
        <f>+SUM(C159:C$501)</f>
        <v>453.91478610043555</v>
      </c>
      <c r="K158" s="914">
        <f t="shared" si="12"/>
        <v>2084.3086964245781</v>
      </c>
      <c r="L158" s="914">
        <f>+SUM(D159:D$501)</f>
        <v>174.83954346693983</v>
      </c>
      <c r="M158" s="914">
        <f>+SUM(E159:E$501)</f>
        <v>7759.8487303023767</v>
      </c>
      <c r="N158" s="914">
        <f>+SUM(F159:F$501)</f>
        <v>16.222817714093303</v>
      </c>
      <c r="O158" s="914">
        <f>+SUM(G159:G$501)</f>
        <v>10035.219787907983</v>
      </c>
      <c r="P158" s="11">
        <f t="shared" si="13"/>
        <v>38.981579622118304</v>
      </c>
      <c r="Q158" s="913">
        <f t="shared" si="14"/>
        <v>0</v>
      </c>
      <c r="R158" s="11">
        <f t="shared" si="15"/>
        <v>1.6900169761500002E-2</v>
      </c>
      <c r="S158" s="913">
        <f t="shared" si="16"/>
        <v>90</v>
      </c>
    </row>
    <row r="159" spans="1:19" x14ac:dyDescent="0.2">
      <c r="A159" s="11">
        <f t="shared" si="17"/>
        <v>157</v>
      </c>
      <c r="B159" s="11">
        <v>3.4060537238680002</v>
      </c>
      <c r="C159" s="11"/>
      <c r="D159" s="11"/>
      <c r="E159" s="11">
        <v>44.081849096018999</v>
      </c>
      <c r="F159" s="11"/>
      <c r="G159" s="11">
        <v>47.487902819886997</v>
      </c>
      <c r="H159" s="11"/>
      <c r="I159" s="914">
        <f>+SUM(B160:B$501)</f>
        <v>1626.9878566002744</v>
      </c>
      <c r="J159" s="914">
        <f>+SUM(C160:C$501)</f>
        <v>453.91478610043555</v>
      </c>
      <c r="K159" s="914">
        <f t="shared" si="12"/>
        <v>2080.9026427007102</v>
      </c>
      <c r="L159" s="914">
        <f>+SUM(D160:D$501)</f>
        <v>174.83954346693983</v>
      </c>
      <c r="M159" s="914">
        <f>+SUM(E160:E$501)</f>
        <v>7715.7668812063594</v>
      </c>
      <c r="N159" s="914">
        <f>+SUM(F160:F$501)</f>
        <v>16.222817714093303</v>
      </c>
      <c r="O159" s="914">
        <f>+SUM(G160:G$501)</f>
        <v>9987.7318850880947</v>
      </c>
      <c r="P159" s="11">
        <f t="shared" si="13"/>
        <v>44.081849096018999</v>
      </c>
      <c r="Q159" s="913">
        <f t="shared" si="14"/>
        <v>0</v>
      </c>
      <c r="R159" s="11">
        <f t="shared" si="15"/>
        <v>1.6900169761500002E-2</v>
      </c>
      <c r="S159" s="913">
        <f t="shared" si="16"/>
        <v>89</v>
      </c>
    </row>
    <row r="160" spans="1:19" x14ac:dyDescent="0.2">
      <c r="A160" s="11">
        <f t="shared" si="17"/>
        <v>158</v>
      </c>
      <c r="B160" s="11">
        <v>4.5215829973309996</v>
      </c>
      <c r="C160" s="11"/>
      <c r="D160" s="11"/>
      <c r="E160" s="11">
        <v>42.730600381444994</v>
      </c>
      <c r="F160" s="11"/>
      <c r="G160" s="11">
        <v>47.252183378775996</v>
      </c>
      <c r="H160" s="11"/>
      <c r="I160" s="914">
        <f>+SUM(B161:B$501)</f>
        <v>1622.4662736029434</v>
      </c>
      <c r="J160" s="914">
        <f>+SUM(C161:C$501)</f>
        <v>453.91478610043555</v>
      </c>
      <c r="K160" s="914">
        <f t="shared" si="12"/>
        <v>2076.3810597033789</v>
      </c>
      <c r="L160" s="914">
        <f>+SUM(D161:D$501)</f>
        <v>174.83954346693983</v>
      </c>
      <c r="M160" s="914">
        <f>+SUM(E161:E$501)</f>
        <v>7673.0362808249129</v>
      </c>
      <c r="N160" s="914">
        <f>+SUM(F161:F$501)</f>
        <v>16.222817714093303</v>
      </c>
      <c r="O160" s="914">
        <f>+SUM(G161:G$501)</f>
        <v>9940.4797017093188</v>
      </c>
      <c r="P160" s="11">
        <f t="shared" si="13"/>
        <v>42.730600381444994</v>
      </c>
      <c r="Q160" s="913">
        <f t="shared" si="14"/>
        <v>0</v>
      </c>
      <c r="R160" s="11">
        <f t="shared" si="15"/>
        <v>1.6900169761500002E-2</v>
      </c>
      <c r="S160" s="913">
        <f t="shared" si="16"/>
        <v>88</v>
      </c>
    </row>
    <row r="161" spans="1:19" x14ac:dyDescent="0.2">
      <c r="A161" s="11">
        <f t="shared" si="17"/>
        <v>159</v>
      </c>
      <c r="B161" s="11">
        <v>4.6425115335498992</v>
      </c>
      <c r="C161" s="11"/>
      <c r="D161" s="11"/>
      <c r="E161" s="11">
        <v>42.056816914488003</v>
      </c>
      <c r="F161" s="11"/>
      <c r="G161" s="11">
        <v>46.699328448037903</v>
      </c>
      <c r="H161" s="11"/>
      <c r="I161" s="914">
        <f>+SUM(B162:B$501)</f>
        <v>1617.8237620693935</v>
      </c>
      <c r="J161" s="914">
        <f>+SUM(C162:C$501)</f>
        <v>453.91478610043555</v>
      </c>
      <c r="K161" s="914">
        <f t="shared" si="12"/>
        <v>2071.7385481698293</v>
      </c>
      <c r="L161" s="914">
        <f>+SUM(D162:D$501)</f>
        <v>174.83954346693983</v>
      </c>
      <c r="M161" s="914">
        <f>+SUM(E162:E$501)</f>
        <v>7630.9794639104248</v>
      </c>
      <c r="N161" s="914">
        <f>+SUM(F162:F$501)</f>
        <v>16.222817714093303</v>
      </c>
      <c r="O161" s="914">
        <f>+SUM(G162:G$501)</f>
        <v>9893.7803732612811</v>
      </c>
      <c r="P161" s="11">
        <f t="shared" si="13"/>
        <v>42.056816914488003</v>
      </c>
      <c r="Q161" s="913">
        <f t="shared" si="14"/>
        <v>0</v>
      </c>
      <c r="R161" s="11">
        <f t="shared" si="15"/>
        <v>1.6900169761500002E-2</v>
      </c>
      <c r="S161" s="913">
        <f t="shared" si="16"/>
        <v>87</v>
      </c>
    </row>
    <row r="162" spans="1:19" x14ac:dyDescent="0.2">
      <c r="A162" s="11">
        <f t="shared" si="17"/>
        <v>160</v>
      </c>
      <c r="B162" s="11">
        <v>2.9455388591629998</v>
      </c>
      <c r="C162" s="11"/>
      <c r="D162" s="11"/>
      <c r="E162" s="11">
        <v>42.934668455988003</v>
      </c>
      <c r="F162" s="11"/>
      <c r="G162" s="11">
        <v>45.880207315151004</v>
      </c>
      <c r="H162" s="11"/>
      <c r="I162" s="914">
        <f>+SUM(B163:B$501)</f>
        <v>1614.8782232102303</v>
      </c>
      <c r="J162" s="914">
        <f>+SUM(C163:C$501)</f>
        <v>453.91478610043555</v>
      </c>
      <c r="K162" s="914">
        <f t="shared" si="12"/>
        <v>2068.7930093106661</v>
      </c>
      <c r="L162" s="914">
        <f>+SUM(D163:D$501)</f>
        <v>174.83954346693983</v>
      </c>
      <c r="M162" s="914">
        <f>+SUM(E163:E$501)</f>
        <v>7588.044795454437</v>
      </c>
      <c r="N162" s="914">
        <f>+SUM(F163:F$501)</f>
        <v>16.222817714093303</v>
      </c>
      <c r="O162" s="914">
        <f>+SUM(G163:G$501)</f>
        <v>9847.9001659461283</v>
      </c>
      <c r="P162" s="11">
        <f t="shared" si="13"/>
        <v>42.934668455988003</v>
      </c>
      <c r="Q162" s="913">
        <f t="shared" si="14"/>
        <v>0</v>
      </c>
      <c r="R162" s="11">
        <f t="shared" si="15"/>
        <v>1.6900169761500002E-2</v>
      </c>
      <c r="S162" s="913">
        <f t="shared" si="16"/>
        <v>86</v>
      </c>
    </row>
    <row r="163" spans="1:19" x14ac:dyDescent="0.2">
      <c r="A163" s="11">
        <f t="shared" si="17"/>
        <v>161</v>
      </c>
      <c r="B163" s="11">
        <v>2.0330599910540004</v>
      </c>
      <c r="C163" s="11"/>
      <c r="D163" s="11"/>
      <c r="E163" s="11">
        <v>42.663219699915601</v>
      </c>
      <c r="F163" s="11"/>
      <c r="G163" s="11">
        <v>44.696279690969604</v>
      </c>
      <c r="H163" s="11"/>
      <c r="I163" s="914">
        <f>+SUM(B164:B$501)</f>
        <v>1612.8451632191764</v>
      </c>
      <c r="J163" s="914">
        <f>+SUM(C164:C$501)</f>
        <v>453.91478610043555</v>
      </c>
      <c r="K163" s="914">
        <f t="shared" si="12"/>
        <v>2066.7599493196121</v>
      </c>
      <c r="L163" s="914">
        <f>+SUM(D164:D$501)</f>
        <v>174.83954346693983</v>
      </c>
      <c r="M163" s="914">
        <f>+SUM(E164:E$501)</f>
        <v>7545.3815757545208</v>
      </c>
      <c r="N163" s="914">
        <f>+SUM(F164:F$501)</f>
        <v>16.222817714093303</v>
      </c>
      <c r="O163" s="914">
        <f>+SUM(G164:G$501)</f>
        <v>9803.2038862551599</v>
      </c>
      <c r="P163" s="11">
        <f t="shared" si="13"/>
        <v>42.663219699915601</v>
      </c>
      <c r="Q163" s="913">
        <f t="shared" si="14"/>
        <v>0</v>
      </c>
      <c r="R163" s="11">
        <f t="shared" si="15"/>
        <v>1.6900169761500002E-2</v>
      </c>
      <c r="S163" s="913">
        <f t="shared" si="16"/>
        <v>85</v>
      </c>
    </row>
    <row r="164" spans="1:19" x14ac:dyDescent="0.2">
      <c r="A164" s="11">
        <f t="shared" si="17"/>
        <v>162</v>
      </c>
      <c r="B164" s="11">
        <v>2.6505401382374001</v>
      </c>
      <c r="C164" s="11"/>
      <c r="D164" s="11"/>
      <c r="E164" s="11">
        <v>41.035773927042996</v>
      </c>
      <c r="F164" s="11"/>
      <c r="G164" s="11">
        <v>43.686314065280399</v>
      </c>
      <c r="H164" s="11"/>
      <c r="I164" s="914">
        <f>+SUM(B165:B$501)</f>
        <v>1610.1946230809392</v>
      </c>
      <c r="J164" s="914">
        <f>+SUM(C165:C$501)</f>
        <v>453.91478610043555</v>
      </c>
      <c r="K164" s="914">
        <f t="shared" si="12"/>
        <v>2064.1094091813748</v>
      </c>
      <c r="L164" s="914">
        <f>+SUM(D165:D$501)</f>
        <v>174.83954346693983</v>
      </c>
      <c r="M164" s="914">
        <f>+SUM(E165:E$501)</f>
        <v>7504.3458018274769</v>
      </c>
      <c r="N164" s="914">
        <f>+SUM(F165:F$501)</f>
        <v>16.222817714093303</v>
      </c>
      <c r="O164" s="914">
        <f>+SUM(G165:G$501)</f>
        <v>9759.5175721898777</v>
      </c>
      <c r="P164" s="11">
        <f t="shared" si="13"/>
        <v>41.035773927042996</v>
      </c>
      <c r="Q164" s="913">
        <f t="shared" si="14"/>
        <v>0</v>
      </c>
      <c r="R164" s="11">
        <f t="shared" si="15"/>
        <v>1.6900169761500002E-2</v>
      </c>
      <c r="S164" s="913">
        <f t="shared" si="16"/>
        <v>84</v>
      </c>
    </row>
    <row r="165" spans="1:19" x14ac:dyDescent="0.2">
      <c r="A165" s="11">
        <f t="shared" si="17"/>
        <v>163</v>
      </c>
      <c r="B165" s="11">
        <v>3.9083479001394901</v>
      </c>
      <c r="C165" s="11"/>
      <c r="D165" s="11"/>
      <c r="E165" s="11">
        <v>40.578369479384001</v>
      </c>
      <c r="F165" s="11"/>
      <c r="G165" s="11">
        <v>44.48671737952349</v>
      </c>
      <c r="H165" s="11"/>
      <c r="I165" s="914">
        <f>+SUM(B166:B$501)</f>
        <v>1606.2862751807997</v>
      </c>
      <c r="J165" s="914">
        <f>+SUM(C166:C$501)</f>
        <v>453.91478610043555</v>
      </c>
      <c r="K165" s="914">
        <f t="shared" si="12"/>
        <v>2060.2010612812355</v>
      </c>
      <c r="L165" s="914">
        <f>+SUM(D166:D$501)</f>
        <v>174.83954346693983</v>
      </c>
      <c r="M165" s="914">
        <f>+SUM(E166:E$501)</f>
        <v>7463.7674323480924</v>
      </c>
      <c r="N165" s="914">
        <f>+SUM(F166:F$501)</f>
        <v>16.222817714093303</v>
      </c>
      <c r="O165" s="914">
        <f>+SUM(G166:G$501)</f>
        <v>9715.0308548103567</v>
      </c>
      <c r="P165" s="11">
        <f t="shared" si="13"/>
        <v>40.578369479384001</v>
      </c>
      <c r="Q165" s="913">
        <f t="shared" si="14"/>
        <v>0</v>
      </c>
      <c r="R165" s="11">
        <f t="shared" si="15"/>
        <v>1.6900169761500002E-2</v>
      </c>
      <c r="S165" s="913">
        <f t="shared" si="16"/>
        <v>83</v>
      </c>
    </row>
    <row r="166" spans="1:19" x14ac:dyDescent="0.2">
      <c r="A166" s="11">
        <f t="shared" si="17"/>
        <v>164</v>
      </c>
      <c r="B166" s="11">
        <v>3.3981300590129</v>
      </c>
      <c r="C166" s="11"/>
      <c r="D166" s="11"/>
      <c r="E166" s="11">
        <v>41.386799955722097</v>
      </c>
      <c r="F166" s="11"/>
      <c r="G166" s="11">
        <v>44.784930014734996</v>
      </c>
      <c r="H166" s="11"/>
      <c r="I166" s="914">
        <f>+SUM(B167:B$501)</f>
        <v>1602.8881451217869</v>
      </c>
      <c r="J166" s="914">
        <f>+SUM(C167:C$501)</f>
        <v>453.91478610043555</v>
      </c>
      <c r="K166" s="914">
        <f t="shared" si="12"/>
        <v>2056.8029312222225</v>
      </c>
      <c r="L166" s="914">
        <f>+SUM(D167:D$501)</f>
        <v>174.83954346693983</v>
      </c>
      <c r="M166" s="914">
        <f>+SUM(E167:E$501)</f>
        <v>7422.38063239237</v>
      </c>
      <c r="N166" s="914">
        <f>+SUM(F167:F$501)</f>
        <v>16.222817714093303</v>
      </c>
      <c r="O166" s="914">
        <f>+SUM(G167:G$501)</f>
        <v>9670.2459247956212</v>
      </c>
      <c r="P166" s="11">
        <f t="shared" si="13"/>
        <v>41.386799955722097</v>
      </c>
      <c r="Q166" s="913">
        <f t="shared" si="14"/>
        <v>0</v>
      </c>
      <c r="R166" s="11">
        <f t="shared" si="15"/>
        <v>1.6900169761500002E-2</v>
      </c>
      <c r="S166" s="913">
        <f t="shared" si="16"/>
        <v>82</v>
      </c>
    </row>
    <row r="167" spans="1:19" x14ac:dyDescent="0.2">
      <c r="A167" s="11">
        <f t="shared" si="17"/>
        <v>165</v>
      </c>
      <c r="B167" s="11">
        <v>2.0996370252388901</v>
      </c>
      <c r="C167" s="11"/>
      <c r="D167" s="11"/>
      <c r="E167" s="11">
        <v>42.136944597083428</v>
      </c>
      <c r="F167" s="11"/>
      <c r="G167" s="11">
        <v>44.236581622322319</v>
      </c>
      <c r="H167" s="11"/>
      <c r="I167" s="914">
        <f>+SUM(B168:B$501)</f>
        <v>1600.788508096548</v>
      </c>
      <c r="J167" s="914">
        <f>+SUM(C168:C$501)</f>
        <v>453.91478610043555</v>
      </c>
      <c r="K167" s="914">
        <f t="shared" si="12"/>
        <v>2054.7032941969837</v>
      </c>
      <c r="L167" s="914">
        <f>+SUM(D168:D$501)</f>
        <v>174.83954346693983</v>
      </c>
      <c r="M167" s="914">
        <f>+SUM(E168:E$501)</f>
        <v>7380.2436877952869</v>
      </c>
      <c r="N167" s="914">
        <f>+SUM(F168:F$501)</f>
        <v>16.222817714093303</v>
      </c>
      <c r="O167" s="914">
        <f>+SUM(G168:G$501)</f>
        <v>9626.0093431732967</v>
      </c>
      <c r="P167" s="11">
        <f t="shared" si="13"/>
        <v>42.136944597083428</v>
      </c>
      <c r="Q167" s="913">
        <f t="shared" si="14"/>
        <v>0</v>
      </c>
      <c r="R167" s="11">
        <f t="shared" si="15"/>
        <v>1.6900169761500002E-2</v>
      </c>
      <c r="S167" s="913">
        <f t="shared" si="16"/>
        <v>81</v>
      </c>
    </row>
    <row r="168" spans="1:19" x14ac:dyDescent="0.2">
      <c r="A168" s="11">
        <f t="shared" si="17"/>
        <v>166</v>
      </c>
      <c r="B168" s="11">
        <v>4.0211793083623002</v>
      </c>
      <c r="C168" s="11"/>
      <c r="D168" s="11"/>
      <c r="E168" s="11">
        <v>39.1862901595766</v>
      </c>
      <c r="F168" s="11"/>
      <c r="G168" s="11">
        <v>43.2074694679389</v>
      </c>
      <c r="H168" s="11"/>
      <c r="I168" s="914">
        <f>+SUM(B169:B$501)</f>
        <v>1596.7673287881855</v>
      </c>
      <c r="J168" s="914">
        <f>+SUM(C169:C$501)</f>
        <v>453.91478610043555</v>
      </c>
      <c r="K168" s="914">
        <f t="shared" si="12"/>
        <v>2050.6821148886211</v>
      </c>
      <c r="L168" s="914">
        <f>+SUM(D169:D$501)</f>
        <v>174.83954346693983</v>
      </c>
      <c r="M168" s="914">
        <f>+SUM(E169:E$501)</f>
        <v>7341.0573976357109</v>
      </c>
      <c r="N168" s="914">
        <f>+SUM(F169:F$501)</f>
        <v>16.222817714093303</v>
      </c>
      <c r="O168" s="914">
        <f>+SUM(G169:G$501)</f>
        <v>9582.8018737053571</v>
      </c>
      <c r="P168" s="11">
        <f t="shared" si="13"/>
        <v>39.1862901595766</v>
      </c>
      <c r="Q168" s="913">
        <f t="shared" si="14"/>
        <v>0</v>
      </c>
      <c r="R168" s="11">
        <f t="shared" si="15"/>
        <v>1.6900169761500002E-2</v>
      </c>
      <c r="S168" s="913">
        <f t="shared" si="16"/>
        <v>80</v>
      </c>
    </row>
    <row r="169" spans="1:19" x14ac:dyDescent="0.2">
      <c r="A169" s="11">
        <f t="shared" si="17"/>
        <v>167</v>
      </c>
      <c r="B169" s="11">
        <v>4.1158257743832438</v>
      </c>
      <c r="C169" s="11"/>
      <c r="D169" s="11"/>
      <c r="E169" s="11">
        <v>37.821845364067904</v>
      </c>
      <c r="F169" s="11"/>
      <c r="G169" s="11">
        <v>41.937671138451151</v>
      </c>
      <c r="H169" s="11"/>
      <c r="I169" s="914">
        <f>+SUM(B170:B$501)</f>
        <v>1592.6515030138023</v>
      </c>
      <c r="J169" s="914">
        <f>+SUM(C170:C$501)</f>
        <v>453.91478610043555</v>
      </c>
      <c r="K169" s="914">
        <f t="shared" si="12"/>
        <v>2046.5662891142379</v>
      </c>
      <c r="L169" s="914">
        <f>+SUM(D170:D$501)</f>
        <v>174.83954346693983</v>
      </c>
      <c r="M169" s="914">
        <f>+SUM(E170:E$501)</f>
        <v>7303.2355522716416</v>
      </c>
      <c r="N169" s="914">
        <f>+SUM(F170:F$501)</f>
        <v>16.222817714093303</v>
      </c>
      <c r="O169" s="914">
        <f>+SUM(G170:G$501)</f>
        <v>9540.8642025669069</v>
      </c>
      <c r="P169" s="11">
        <f t="shared" si="13"/>
        <v>37.821845364067904</v>
      </c>
      <c r="Q169" s="913">
        <f t="shared" si="14"/>
        <v>0</v>
      </c>
      <c r="R169" s="11">
        <f t="shared" si="15"/>
        <v>1.6900169761500002E-2</v>
      </c>
      <c r="S169" s="913">
        <f t="shared" si="16"/>
        <v>79</v>
      </c>
    </row>
    <row r="170" spans="1:19" x14ac:dyDescent="0.2">
      <c r="A170" s="11">
        <f t="shared" si="17"/>
        <v>168</v>
      </c>
      <c r="B170" s="11">
        <v>7.6919824470507994</v>
      </c>
      <c r="C170" s="11"/>
      <c r="D170" s="11"/>
      <c r="E170" s="11">
        <v>32.016673460387999</v>
      </c>
      <c r="F170" s="11"/>
      <c r="G170" s="11">
        <v>39.708655907438796</v>
      </c>
      <c r="H170" s="11"/>
      <c r="I170" s="914">
        <f>+SUM(B171:B$501)</f>
        <v>1584.9595205667517</v>
      </c>
      <c r="J170" s="914">
        <f>+SUM(C171:C$501)</f>
        <v>453.91478610043555</v>
      </c>
      <c r="K170" s="914">
        <f t="shared" si="12"/>
        <v>2038.8743066671873</v>
      </c>
      <c r="L170" s="914">
        <f>+SUM(D171:D$501)</f>
        <v>174.83954346693983</v>
      </c>
      <c r="M170" s="914">
        <f>+SUM(E171:E$501)</f>
        <v>7271.2188788112553</v>
      </c>
      <c r="N170" s="914">
        <f>+SUM(F171:F$501)</f>
        <v>16.222817714093303</v>
      </c>
      <c r="O170" s="914">
        <f>+SUM(G171:G$501)</f>
        <v>9501.1555466594691</v>
      </c>
      <c r="P170" s="11">
        <f t="shared" si="13"/>
        <v>32.016673460387999</v>
      </c>
      <c r="Q170" s="913">
        <f t="shared" si="14"/>
        <v>0</v>
      </c>
      <c r="R170" s="11">
        <f t="shared" si="15"/>
        <v>1.6900169761500002E-2</v>
      </c>
      <c r="S170" s="913">
        <f t="shared" si="16"/>
        <v>78</v>
      </c>
    </row>
    <row r="171" spans="1:19" x14ac:dyDescent="0.2">
      <c r="A171" s="11">
        <f t="shared" si="17"/>
        <v>169</v>
      </c>
      <c r="B171" s="11">
        <v>4.1816367307769999</v>
      </c>
      <c r="C171" s="11"/>
      <c r="D171" s="11"/>
      <c r="E171" s="11">
        <v>32.708618119500002</v>
      </c>
      <c r="F171" s="11"/>
      <c r="G171" s="11">
        <v>36.890254850277003</v>
      </c>
      <c r="H171" s="11"/>
      <c r="I171" s="914">
        <f>+SUM(B172:B$501)</f>
        <v>1580.7778838359748</v>
      </c>
      <c r="J171" s="914">
        <f>+SUM(C172:C$501)</f>
        <v>453.91478610043555</v>
      </c>
      <c r="K171" s="914">
        <f t="shared" si="12"/>
        <v>2034.6926699364103</v>
      </c>
      <c r="L171" s="914">
        <f>+SUM(D172:D$501)</f>
        <v>174.83954346693983</v>
      </c>
      <c r="M171" s="914">
        <f>+SUM(E172:E$501)</f>
        <v>7238.5102606917544</v>
      </c>
      <c r="N171" s="914">
        <f>+SUM(F172:F$501)</f>
        <v>16.222817714093303</v>
      </c>
      <c r="O171" s="914">
        <f>+SUM(G172:G$501)</f>
        <v>9464.2652918091917</v>
      </c>
      <c r="P171" s="11">
        <f t="shared" si="13"/>
        <v>32.708618119500002</v>
      </c>
      <c r="Q171" s="913">
        <f t="shared" si="14"/>
        <v>0</v>
      </c>
      <c r="R171" s="11">
        <f t="shared" si="15"/>
        <v>1.6900169761500002E-2</v>
      </c>
      <c r="S171" s="913">
        <f t="shared" si="16"/>
        <v>77</v>
      </c>
    </row>
    <row r="172" spans="1:19" x14ac:dyDescent="0.2">
      <c r="A172" s="11">
        <f t="shared" si="17"/>
        <v>170</v>
      </c>
      <c r="B172" s="11">
        <v>2.5642648889159001</v>
      </c>
      <c r="C172" s="11"/>
      <c r="D172" s="11"/>
      <c r="E172" s="11">
        <v>26.623509139300001</v>
      </c>
      <c r="F172" s="11"/>
      <c r="G172" s="11">
        <v>29.187774028215902</v>
      </c>
      <c r="H172" s="11"/>
      <c r="I172" s="914">
        <f>+SUM(B173:B$501)</f>
        <v>1578.2136189470586</v>
      </c>
      <c r="J172" s="914">
        <f>+SUM(C173:C$501)</f>
        <v>453.91478610043555</v>
      </c>
      <c r="K172" s="914">
        <f t="shared" si="12"/>
        <v>2032.1284050474942</v>
      </c>
      <c r="L172" s="914">
        <f>+SUM(D173:D$501)</f>
        <v>174.83954346693983</v>
      </c>
      <c r="M172" s="914">
        <f>+SUM(E173:E$501)</f>
        <v>7211.8867515524553</v>
      </c>
      <c r="N172" s="914">
        <f>+SUM(F173:F$501)</f>
        <v>16.222817714093303</v>
      </c>
      <c r="O172" s="914">
        <f>+SUM(G173:G$501)</f>
        <v>9435.0775177809737</v>
      </c>
      <c r="P172" s="11">
        <f t="shared" si="13"/>
        <v>26.623509139300001</v>
      </c>
      <c r="Q172" s="913">
        <f t="shared" si="14"/>
        <v>0</v>
      </c>
      <c r="R172" s="11">
        <f t="shared" si="15"/>
        <v>1.6900169761500002E-2</v>
      </c>
      <c r="S172" s="913">
        <f t="shared" si="16"/>
        <v>76</v>
      </c>
    </row>
    <row r="173" spans="1:19" x14ac:dyDescent="0.2">
      <c r="A173" s="11">
        <f t="shared" si="17"/>
        <v>171</v>
      </c>
      <c r="B173" s="11">
        <v>2.0291005801469999</v>
      </c>
      <c r="C173" s="11"/>
      <c r="D173" s="11"/>
      <c r="E173" s="11">
        <v>21.3458100874</v>
      </c>
      <c r="F173" s="11"/>
      <c r="G173" s="11">
        <v>23.374910667546999</v>
      </c>
      <c r="H173" s="11"/>
      <c r="I173" s="914">
        <f>+SUM(B174:B$501)</f>
        <v>1576.1845183669118</v>
      </c>
      <c r="J173" s="914">
        <f>+SUM(C174:C$501)</f>
        <v>453.91478610043555</v>
      </c>
      <c r="K173" s="914">
        <f t="shared" si="12"/>
        <v>2030.0993044673473</v>
      </c>
      <c r="L173" s="914">
        <f>+SUM(D174:D$501)</f>
        <v>174.83954346693983</v>
      </c>
      <c r="M173" s="914">
        <f>+SUM(E174:E$501)</f>
        <v>7190.5409414650539</v>
      </c>
      <c r="N173" s="914">
        <f>+SUM(F174:F$501)</f>
        <v>16.222817714093303</v>
      </c>
      <c r="O173" s="914">
        <f>+SUM(G174:G$501)</f>
        <v>9411.7026071134278</v>
      </c>
      <c r="P173" s="11">
        <f t="shared" si="13"/>
        <v>21.3458100874</v>
      </c>
      <c r="Q173" s="913">
        <f t="shared" si="14"/>
        <v>0</v>
      </c>
      <c r="R173" s="11">
        <f t="shared" si="15"/>
        <v>1.6900169761500002E-2</v>
      </c>
      <c r="S173" s="913">
        <f t="shared" si="16"/>
        <v>75</v>
      </c>
    </row>
    <row r="174" spans="1:19" x14ac:dyDescent="0.2">
      <c r="A174" s="11">
        <f t="shared" si="17"/>
        <v>172</v>
      </c>
      <c r="B174" s="11">
        <v>2.5054303284159998</v>
      </c>
      <c r="C174" s="11"/>
      <c r="D174" s="11"/>
      <c r="E174" s="11">
        <v>18.197414366899999</v>
      </c>
      <c r="F174" s="11"/>
      <c r="G174" s="11">
        <v>20.702844695315999</v>
      </c>
      <c r="H174" s="11"/>
      <c r="I174" s="914">
        <f>+SUM(B175:B$501)</f>
        <v>1573.6790880384958</v>
      </c>
      <c r="J174" s="914">
        <f>+SUM(C175:C$501)</f>
        <v>453.91478610043555</v>
      </c>
      <c r="K174" s="914">
        <f t="shared" si="12"/>
        <v>2027.5938741389314</v>
      </c>
      <c r="L174" s="914">
        <f>+SUM(D175:D$501)</f>
        <v>174.83954346693983</v>
      </c>
      <c r="M174" s="914">
        <f>+SUM(E175:E$501)</f>
        <v>7172.3435270981545</v>
      </c>
      <c r="N174" s="914">
        <f>+SUM(F175:F$501)</f>
        <v>16.222817714093303</v>
      </c>
      <c r="O174" s="914">
        <f>+SUM(G175:G$501)</f>
        <v>9390.9997624181124</v>
      </c>
      <c r="P174" s="11">
        <f t="shared" si="13"/>
        <v>18.197414366899999</v>
      </c>
      <c r="Q174" s="913">
        <f t="shared" si="14"/>
        <v>0</v>
      </c>
      <c r="R174" s="11">
        <f t="shared" si="15"/>
        <v>1.6900169761500002E-2</v>
      </c>
      <c r="S174" s="913">
        <f t="shared" si="16"/>
        <v>74</v>
      </c>
    </row>
    <row r="175" spans="1:19" x14ac:dyDescent="0.2">
      <c r="A175" s="11">
        <f t="shared" si="17"/>
        <v>173</v>
      </c>
      <c r="B175" s="11">
        <v>2.6913301810499997</v>
      </c>
      <c r="C175" s="11"/>
      <c r="D175" s="11"/>
      <c r="E175" s="11">
        <v>18.1781857203</v>
      </c>
      <c r="F175" s="11"/>
      <c r="G175" s="11">
        <v>20.869515901349999</v>
      </c>
      <c r="H175" s="11"/>
      <c r="I175" s="914">
        <f>+SUM(B176:B$501)</f>
        <v>1570.9877578574458</v>
      </c>
      <c r="J175" s="914">
        <f>+SUM(C176:C$501)</f>
        <v>453.91478610043555</v>
      </c>
      <c r="K175" s="914">
        <f t="shared" si="12"/>
        <v>2024.9025439578813</v>
      </c>
      <c r="L175" s="914">
        <f>+SUM(D176:D$501)</f>
        <v>174.83954346693983</v>
      </c>
      <c r="M175" s="914">
        <f>+SUM(E176:E$501)</f>
        <v>7154.165341377854</v>
      </c>
      <c r="N175" s="914">
        <f>+SUM(F176:F$501)</f>
        <v>16.222817714093303</v>
      </c>
      <c r="O175" s="914">
        <f>+SUM(G176:G$501)</f>
        <v>9370.130246516761</v>
      </c>
      <c r="P175" s="11">
        <f t="shared" si="13"/>
        <v>18.1781857203</v>
      </c>
      <c r="Q175" s="913">
        <f t="shared" si="14"/>
        <v>0</v>
      </c>
      <c r="R175" s="11">
        <f t="shared" si="15"/>
        <v>1.6900169761500002E-2</v>
      </c>
      <c r="S175" s="913">
        <f t="shared" si="16"/>
        <v>73</v>
      </c>
    </row>
    <row r="176" spans="1:19" x14ac:dyDescent="0.2">
      <c r="A176" s="11">
        <f t="shared" si="17"/>
        <v>174</v>
      </c>
      <c r="B176" s="11">
        <v>2.2896655084190001</v>
      </c>
      <c r="C176" s="11"/>
      <c r="D176" s="11"/>
      <c r="E176" s="11">
        <v>18.182563597600002</v>
      </c>
      <c r="F176" s="11"/>
      <c r="G176" s="11">
        <v>20.472229106019</v>
      </c>
      <c r="H176" s="11"/>
      <c r="I176" s="914">
        <f>+SUM(B177:B$501)</f>
        <v>1568.6980923490266</v>
      </c>
      <c r="J176" s="914">
        <f>+SUM(C177:C$501)</f>
        <v>453.91478610043555</v>
      </c>
      <c r="K176" s="914">
        <f t="shared" si="12"/>
        <v>2022.6128784494622</v>
      </c>
      <c r="L176" s="914">
        <f>+SUM(D177:D$501)</f>
        <v>174.83954346693983</v>
      </c>
      <c r="M176" s="914">
        <f>+SUM(E177:E$501)</f>
        <v>7135.9827777802539</v>
      </c>
      <c r="N176" s="914">
        <f>+SUM(F177:F$501)</f>
        <v>16.222817714093303</v>
      </c>
      <c r="O176" s="914">
        <f>+SUM(G177:G$501)</f>
        <v>9349.6580174107403</v>
      </c>
      <c r="P176" s="11">
        <f t="shared" si="13"/>
        <v>18.182563597600002</v>
      </c>
      <c r="Q176" s="913">
        <f t="shared" si="14"/>
        <v>0</v>
      </c>
      <c r="R176" s="11">
        <f t="shared" si="15"/>
        <v>1.6900169761500002E-2</v>
      </c>
      <c r="S176" s="913">
        <f t="shared" si="16"/>
        <v>72</v>
      </c>
    </row>
    <row r="177" spans="1:19" x14ac:dyDescent="0.2">
      <c r="A177" s="11">
        <f t="shared" si="17"/>
        <v>175</v>
      </c>
      <c r="B177" s="11">
        <v>1.6998505914350002</v>
      </c>
      <c r="C177" s="11"/>
      <c r="D177" s="11"/>
      <c r="E177" s="11">
        <v>21.150146014299999</v>
      </c>
      <c r="F177" s="11"/>
      <c r="G177" s="11">
        <v>22.849996605735001</v>
      </c>
      <c r="H177" s="11"/>
      <c r="I177" s="914">
        <f>+SUM(B178:B$501)</f>
        <v>1566.9982417575916</v>
      </c>
      <c r="J177" s="914">
        <f>+SUM(C178:C$501)</f>
        <v>453.91478610043555</v>
      </c>
      <c r="K177" s="914">
        <f t="shared" si="12"/>
        <v>2020.9130278580271</v>
      </c>
      <c r="L177" s="914">
        <f>+SUM(D178:D$501)</f>
        <v>174.83954346693983</v>
      </c>
      <c r="M177" s="914">
        <f>+SUM(E178:E$501)</f>
        <v>7114.8326317659548</v>
      </c>
      <c r="N177" s="914">
        <f>+SUM(F178:F$501)</f>
        <v>16.222817714093303</v>
      </c>
      <c r="O177" s="914">
        <f>+SUM(G178:G$501)</f>
        <v>9326.8080208050087</v>
      </c>
      <c r="P177" s="11">
        <f t="shared" si="13"/>
        <v>21.150146014299999</v>
      </c>
      <c r="Q177" s="913">
        <f t="shared" si="14"/>
        <v>0</v>
      </c>
      <c r="R177" s="11">
        <f t="shared" si="15"/>
        <v>1.6900169761500002E-2</v>
      </c>
      <c r="S177" s="913">
        <f t="shared" si="16"/>
        <v>71</v>
      </c>
    </row>
    <row r="178" spans="1:19" x14ac:dyDescent="0.2">
      <c r="A178" s="11">
        <f t="shared" si="17"/>
        <v>176</v>
      </c>
      <c r="B178" s="11">
        <v>1.397536104422</v>
      </c>
      <c r="C178" s="11"/>
      <c r="D178" s="11"/>
      <c r="E178" s="11">
        <v>22.031157483499999</v>
      </c>
      <c r="F178" s="11"/>
      <c r="G178" s="11">
        <v>23.428693587921998</v>
      </c>
      <c r="H178" s="11"/>
      <c r="I178" s="914">
        <f>+SUM(B179:B$501)</f>
        <v>1565.6007056531696</v>
      </c>
      <c r="J178" s="914">
        <f>+SUM(C179:C$501)</f>
        <v>453.91478610043555</v>
      </c>
      <c r="K178" s="914">
        <f t="shared" si="12"/>
        <v>2019.5154917536051</v>
      </c>
      <c r="L178" s="914">
        <f>+SUM(D179:D$501)</f>
        <v>174.83954346693983</v>
      </c>
      <c r="M178" s="914">
        <f>+SUM(E179:E$501)</f>
        <v>7092.8014742824553</v>
      </c>
      <c r="N178" s="914">
        <f>+SUM(F179:F$501)</f>
        <v>16.222817714093303</v>
      </c>
      <c r="O178" s="914">
        <f>+SUM(G179:G$501)</f>
        <v>9303.3793272170878</v>
      </c>
      <c r="P178" s="11">
        <f t="shared" si="13"/>
        <v>22.031157483499999</v>
      </c>
      <c r="Q178" s="913">
        <f t="shared" si="14"/>
        <v>0</v>
      </c>
      <c r="R178" s="11">
        <f t="shared" si="15"/>
        <v>1.6900169761500002E-2</v>
      </c>
      <c r="S178" s="913">
        <f t="shared" si="16"/>
        <v>70</v>
      </c>
    </row>
    <row r="179" spans="1:19" x14ac:dyDescent="0.2">
      <c r="A179" s="11">
        <f t="shared" si="17"/>
        <v>177</v>
      </c>
      <c r="B179" s="11">
        <v>0.81036839535550198</v>
      </c>
      <c r="C179" s="11"/>
      <c r="D179" s="11"/>
      <c r="E179" s="11">
        <v>22.4463789098</v>
      </c>
      <c r="F179" s="11"/>
      <c r="G179" s="11">
        <v>23.256747305155503</v>
      </c>
      <c r="H179" s="11"/>
      <c r="I179" s="914">
        <f>+SUM(B180:B$501)</f>
        <v>1564.7903372578141</v>
      </c>
      <c r="J179" s="914">
        <f>+SUM(C180:C$501)</f>
        <v>453.91478610043555</v>
      </c>
      <c r="K179" s="914">
        <f t="shared" si="12"/>
        <v>2018.7051233582497</v>
      </c>
      <c r="L179" s="914">
        <f>+SUM(D180:D$501)</f>
        <v>174.83954346693983</v>
      </c>
      <c r="M179" s="914">
        <f>+SUM(E180:E$501)</f>
        <v>7070.3550953726544</v>
      </c>
      <c r="N179" s="914">
        <f>+SUM(F180:F$501)</f>
        <v>16.222817714093303</v>
      </c>
      <c r="O179" s="914">
        <f>+SUM(G180:G$501)</f>
        <v>9280.1225799119311</v>
      </c>
      <c r="P179" s="11">
        <f t="shared" si="13"/>
        <v>22.4463789098</v>
      </c>
      <c r="Q179" s="913">
        <f t="shared" si="14"/>
        <v>0</v>
      </c>
      <c r="R179" s="11">
        <f t="shared" si="15"/>
        <v>1.6900169761500002E-2</v>
      </c>
      <c r="S179" s="913">
        <f t="shared" si="16"/>
        <v>69</v>
      </c>
    </row>
    <row r="180" spans="1:19" x14ac:dyDescent="0.2">
      <c r="A180" s="11">
        <f t="shared" si="17"/>
        <v>178</v>
      </c>
      <c r="B180" s="11">
        <v>1.5427159132369643</v>
      </c>
      <c r="C180" s="11"/>
      <c r="D180" s="11"/>
      <c r="E180" s="11">
        <v>20.368233147889001</v>
      </c>
      <c r="F180" s="11"/>
      <c r="G180" s="11">
        <v>21.910949061125965</v>
      </c>
      <c r="H180" s="11"/>
      <c r="I180" s="914">
        <f>+SUM(B181:B$501)</f>
        <v>1563.2476213445773</v>
      </c>
      <c r="J180" s="914">
        <f>+SUM(C181:C$501)</f>
        <v>453.91478610043555</v>
      </c>
      <c r="K180" s="914">
        <f t="shared" si="12"/>
        <v>2017.1624074450128</v>
      </c>
      <c r="L180" s="914">
        <f>+SUM(D181:D$501)</f>
        <v>174.83954346693983</v>
      </c>
      <c r="M180" s="914">
        <f>+SUM(E181:E$501)</f>
        <v>7049.9868622247659</v>
      </c>
      <c r="N180" s="914">
        <f>+SUM(F181:F$501)</f>
        <v>16.222817714093303</v>
      </c>
      <c r="O180" s="914">
        <f>+SUM(G181:G$501)</f>
        <v>9258.2116308508048</v>
      </c>
      <c r="P180" s="11">
        <f t="shared" si="13"/>
        <v>20.368233147889001</v>
      </c>
      <c r="Q180" s="913">
        <f t="shared" si="14"/>
        <v>0</v>
      </c>
      <c r="R180" s="11">
        <f t="shared" si="15"/>
        <v>1.6900169761500002E-2</v>
      </c>
      <c r="S180" s="913">
        <f t="shared" si="16"/>
        <v>68</v>
      </c>
    </row>
    <row r="181" spans="1:19" x14ac:dyDescent="0.2">
      <c r="A181" s="11">
        <f t="shared" si="17"/>
        <v>179</v>
      </c>
      <c r="B181" s="11">
        <v>3.8900684057053003</v>
      </c>
      <c r="C181" s="11">
        <v>0.70499086506839992</v>
      </c>
      <c r="D181" s="11"/>
      <c r="E181" s="11">
        <v>14.775756659342001</v>
      </c>
      <c r="F181" s="11"/>
      <c r="G181" s="11">
        <v>19.3708159301157</v>
      </c>
      <c r="H181" s="11"/>
      <c r="I181" s="914">
        <f>+SUM(B182:B$501)</f>
        <v>1559.3575529388718</v>
      </c>
      <c r="J181" s="914">
        <f>+SUM(C182:C$501)</f>
        <v>453.2097952353671</v>
      </c>
      <c r="K181" s="914">
        <f t="shared" si="12"/>
        <v>2012.5673481742388</v>
      </c>
      <c r="L181" s="914">
        <f>+SUM(D182:D$501)</f>
        <v>174.83954346693983</v>
      </c>
      <c r="M181" s="914">
        <f>+SUM(E182:E$501)</f>
        <v>7035.2111055654232</v>
      </c>
      <c r="N181" s="914">
        <f>+SUM(F182:F$501)</f>
        <v>16.222817714093303</v>
      </c>
      <c r="O181" s="914">
        <f>+SUM(G182:G$501)</f>
        <v>9238.840814920688</v>
      </c>
      <c r="P181" s="11">
        <f t="shared" si="13"/>
        <v>14.775756659342001</v>
      </c>
      <c r="Q181" s="913">
        <f t="shared" si="14"/>
        <v>0</v>
      </c>
      <c r="R181" s="11">
        <f t="shared" si="15"/>
        <v>1.6900169761500002E-2</v>
      </c>
      <c r="S181" s="913">
        <f t="shared" si="16"/>
        <v>67</v>
      </c>
    </row>
    <row r="182" spans="1:19" x14ac:dyDescent="0.2">
      <c r="A182" s="11">
        <f t="shared" si="17"/>
        <v>180</v>
      </c>
      <c r="B182" s="11">
        <v>3.0467927605182901</v>
      </c>
      <c r="C182" s="11">
        <v>0.62925640154399998</v>
      </c>
      <c r="D182" s="11"/>
      <c r="E182" s="11">
        <v>8.1632741949029999</v>
      </c>
      <c r="F182" s="11"/>
      <c r="G182" s="11">
        <v>11.83932335696529</v>
      </c>
      <c r="H182" s="11"/>
      <c r="I182" s="914">
        <f>+SUM(B183:B$501)</f>
        <v>1556.3107601783536</v>
      </c>
      <c r="J182" s="914">
        <f>+SUM(C183:C$501)</f>
        <v>452.58053883382308</v>
      </c>
      <c r="K182" s="914">
        <f t="shared" si="12"/>
        <v>2008.8912990121767</v>
      </c>
      <c r="L182" s="914">
        <f>+SUM(D183:D$501)</f>
        <v>174.83954346693983</v>
      </c>
      <c r="M182" s="914">
        <f>+SUM(E183:E$501)</f>
        <v>7027.0478313705198</v>
      </c>
      <c r="N182" s="914">
        <f>+SUM(F183:F$501)</f>
        <v>16.222817714093303</v>
      </c>
      <c r="O182" s="914">
        <f>+SUM(G183:G$501)</f>
        <v>9227.0014915637257</v>
      </c>
      <c r="P182" s="11">
        <f t="shared" si="13"/>
        <v>8.1632741949029999</v>
      </c>
      <c r="Q182" s="913">
        <f t="shared" si="14"/>
        <v>0</v>
      </c>
      <c r="R182" s="11">
        <f t="shared" si="15"/>
        <v>1.6900169761500002E-2</v>
      </c>
      <c r="S182" s="913">
        <f t="shared" si="16"/>
        <v>66</v>
      </c>
    </row>
    <row r="183" spans="1:19" x14ac:dyDescent="0.2">
      <c r="A183" s="11">
        <f t="shared" si="17"/>
        <v>181</v>
      </c>
      <c r="B183" s="11">
        <v>2.82513342744</v>
      </c>
      <c r="C183" s="11"/>
      <c r="D183" s="11">
        <v>0.14738985847620001</v>
      </c>
      <c r="E183" s="11">
        <v>6.6170336197699999</v>
      </c>
      <c r="F183" s="11"/>
      <c r="G183" s="11">
        <v>9.5895569056861998</v>
      </c>
      <c r="H183" s="11"/>
      <c r="I183" s="914">
        <f>+SUM(B184:B$501)</f>
        <v>1553.4856267509138</v>
      </c>
      <c r="J183" s="914">
        <f>+SUM(C184:C$501)</f>
        <v>452.58053883382308</v>
      </c>
      <c r="K183" s="914">
        <f t="shared" si="12"/>
        <v>2006.0661655847368</v>
      </c>
      <c r="L183" s="914">
        <f>+SUM(D184:D$501)</f>
        <v>174.69215360846363</v>
      </c>
      <c r="M183" s="914">
        <f>+SUM(E184:E$501)</f>
        <v>7020.4307977507497</v>
      </c>
      <c r="N183" s="914">
        <f>+SUM(F184:F$501)</f>
        <v>16.222817714093303</v>
      </c>
      <c r="O183" s="914">
        <f>+SUM(G184:G$501)</f>
        <v>9217.4119346580374</v>
      </c>
      <c r="P183" s="11">
        <f t="shared" si="13"/>
        <v>6.6170336197699999</v>
      </c>
      <c r="Q183" s="913">
        <f t="shared" si="14"/>
        <v>0</v>
      </c>
      <c r="R183" s="11">
        <f t="shared" si="15"/>
        <v>1.6900169761500002E-2</v>
      </c>
      <c r="S183" s="913">
        <f t="shared" si="16"/>
        <v>65</v>
      </c>
    </row>
    <row r="184" spans="1:19" x14ac:dyDescent="0.2">
      <c r="A184" s="11">
        <f t="shared" si="17"/>
        <v>182</v>
      </c>
      <c r="B184" s="11">
        <v>2.4520187135777505</v>
      </c>
      <c r="C184" s="11"/>
      <c r="D184" s="11">
        <v>1.9600647112800001E-2</v>
      </c>
      <c r="E184" s="11">
        <v>6.6349621942179002</v>
      </c>
      <c r="F184" s="11"/>
      <c r="G184" s="11">
        <v>9.1065815549084501</v>
      </c>
      <c r="H184" s="11"/>
      <c r="I184" s="914">
        <f>+SUM(B185:B$501)</f>
        <v>1551.0336080373359</v>
      </c>
      <c r="J184" s="914">
        <f>+SUM(C185:C$501)</f>
        <v>452.58053883382308</v>
      </c>
      <c r="K184" s="914">
        <f t="shared" si="12"/>
        <v>2003.6141468711589</v>
      </c>
      <c r="L184" s="914">
        <f>+SUM(D185:D$501)</f>
        <v>174.67255296135082</v>
      </c>
      <c r="M184" s="914">
        <f>+SUM(E185:E$501)</f>
        <v>7013.7958355565324</v>
      </c>
      <c r="N184" s="914">
        <f>+SUM(F185:F$501)</f>
        <v>16.222817714093303</v>
      </c>
      <c r="O184" s="914">
        <f>+SUM(G185:G$501)</f>
        <v>9208.3053531031292</v>
      </c>
      <c r="P184" s="11">
        <f t="shared" si="13"/>
        <v>6.6349621942179002</v>
      </c>
      <c r="Q184" s="913">
        <f t="shared" si="14"/>
        <v>0</v>
      </c>
      <c r="R184" s="11">
        <f t="shared" si="15"/>
        <v>1.6900169761500002E-2</v>
      </c>
      <c r="S184" s="913">
        <f t="shared" si="16"/>
        <v>64</v>
      </c>
    </row>
    <row r="185" spans="1:19" x14ac:dyDescent="0.2">
      <c r="A185" s="11">
        <f t="shared" si="17"/>
        <v>183</v>
      </c>
      <c r="B185" s="11">
        <v>3.01332831594295</v>
      </c>
      <c r="C185" s="11"/>
      <c r="D185" s="11"/>
      <c r="E185" s="11">
        <v>5.4315534378179002</v>
      </c>
      <c r="F185" s="11"/>
      <c r="G185" s="11">
        <v>8.4448817537608498</v>
      </c>
      <c r="H185" s="11"/>
      <c r="I185" s="914">
        <f>+SUM(B186:B$501)</f>
        <v>1548.0202797213929</v>
      </c>
      <c r="J185" s="914">
        <f>+SUM(C186:C$501)</f>
        <v>452.58053883382308</v>
      </c>
      <c r="K185" s="914">
        <f t="shared" si="12"/>
        <v>2000.6008185552159</v>
      </c>
      <c r="L185" s="914">
        <f>+SUM(D186:D$501)</f>
        <v>174.67255296135082</v>
      </c>
      <c r="M185" s="914">
        <f>+SUM(E186:E$501)</f>
        <v>7008.3642821187141</v>
      </c>
      <c r="N185" s="914">
        <f>+SUM(F186:F$501)</f>
        <v>16.222817714093303</v>
      </c>
      <c r="O185" s="914">
        <f>+SUM(G186:G$501)</f>
        <v>9199.8604713493696</v>
      </c>
      <c r="P185" s="11">
        <f t="shared" si="13"/>
        <v>5.4315534378179002</v>
      </c>
      <c r="Q185" s="913">
        <f t="shared" si="14"/>
        <v>0</v>
      </c>
      <c r="R185" s="11">
        <f t="shared" si="15"/>
        <v>1.6900169761500002E-2</v>
      </c>
      <c r="S185" s="913">
        <f t="shared" si="16"/>
        <v>63</v>
      </c>
    </row>
    <row r="186" spans="1:19" x14ac:dyDescent="0.2">
      <c r="A186" s="11">
        <f t="shared" si="17"/>
        <v>184</v>
      </c>
      <c r="B186" s="11">
        <v>5.0127994174669999</v>
      </c>
      <c r="C186" s="11"/>
      <c r="D186" s="11"/>
      <c r="E186" s="11">
        <v>4.5077849572300002</v>
      </c>
      <c r="F186" s="11"/>
      <c r="G186" s="11">
        <v>9.520584374697</v>
      </c>
      <c r="H186" s="11"/>
      <c r="I186" s="914">
        <f>+SUM(B187:B$501)</f>
        <v>1543.0074803039258</v>
      </c>
      <c r="J186" s="914">
        <f>+SUM(C187:C$501)</f>
        <v>452.58053883382308</v>
      </c>
      <c r="K186" s="914">
        <f t="shared" si="12"/>
        <v>1995.5880191377489</v>
      </c>
      <c r="L186" s="914">
        <f>+SUM(D187:D$501)</f>
        <v>174.67255296135082</v>
      </c>
      <c r="M186" s="914">
        <f>+SUM(E187:E$501)</f>
        <v>7003.8564971614842</v>
      </c>
      <c r="N186" s="914">
        <f>+SUM(F187:F$501)</f>
        <v>16.222817714093303</v>
      </c>
      <c r="O186" s="914">
        <f>+SUM(G187:G$501)</f>
        <v>9190.3398869746743</v>
      </c>
      <c r="P186" s="11">
        <f t="shared" si="13"/>
        <v>4.5077849572300002</v>
      </c>
      <c r="Q186" s="913">
        <f t="shared" si="14"/>
        <v>0</v>
      </c>
      <c r="R186" s="11">
        <f t="shared" si="15"/>
        <v>1.6900169761500002E-2</v>
      </c>
      <c r="S186" s="913">
        <f t="shared" si="16"/>
        <v>62</v>
      </c>
    </row>
    <row r="187" spans="1:19" x14ac:dyDescent="0.2">
      <c r="A187" s="11">
        <f t="shared" si="17"/>
        <v>185</v>
      </c>
      <c r="B187" s="11">
        <v>2.6632678617008003</v>
      </c>
      <c r="C187" s="11"/>
      <c r="D187" s="11"/>
      <c r="E187" s="11">
        <v>9.5757808105880002</v>
      </c>
      <c r="F187" s="11"/>
      <c r="G187" s="11">
        <v>12.239048672288801</v>
      </c>
      <c r="H187" s="11"/>
      <c r="I187" s="914">
        <f>+SUM(B188:B$501)</f>
        <v>1540.3442124422249</v>
      </c>
      <c r="J187" s="914">
        <f>+SUM(C188:C$501)</f>
        <v>452.58053883382308</v>
      </c>
      <c r="K187" s="914">
        <f t="shared" si="12"/>
        <v>1992.924751276048</v>
      </c>
      <c r="L187" s="914">
        <f>+SUM(D188:D$501)</f>
        <v>174.67255296135082</v>
      </c>
      <c r="M187" s="914">
        <f>+SUM(E188:E$501)</f>
        <v>6994.2807163508978</v>
      </c>
      <c r="N187" s="914">
        <f>+SUM(F188:F$501)</f>
        <v>16.222817714093303</v>
      </c>
      <c r="O187" s="914">
        <f>+SUM(G188:G$501)</f>
        <v>9178.1008383023836</v>
      </c>
      <c r="P187" s="11">
        <f t="shared" si="13"/>
        <v>9.5757808105880002</v>
      </c>
      <c r="Q187" s="913">
        <f t="shared" si="14"/>
        <v>0</v>
      </c>
      <c r="R187" s="11">
        <f t="shared" si="15"/>
        <v>1.6900169761500002E-2</v>
      </c>
      <c r="S187" s="913">
        <f t="shared" si="16"/>
        <v>61</v>
      </c>
    </row>
    <row r="188" spans="1:19" x14ac:dyDescent="0.2">
      <c r="A188" s="11">
        <f t="shared" si="17"/>
        <v>186</v>
      </c>
      <c r="B188" s="11">
        <v>2.5876677118881997</v>
      </c>
      <c r="C188" s="11"/>
      <c r="D188" s="11"/>
      <c r="E188" s="11">
        <v>10.569669013128401</v>
      </c>
      <c r="F188" s="11"/>
      <c r="G188" s="11">
        <v>13.1573367250166</v>
      </c>
      <c r="H188" s="11"/>
      <c r="I188" s="914">
        <f>+SUM(B189:B$501)</f>
        <v>1537.7565447303368</v>
      </c>
      <c r="J188" s="914">
        <f>+SUM(C189:C$501)</f>
        <v>452.58053883382308</v>
      </c>
      <c r="K188" s="914">
        <f t="shared" si="12"/>
        <v>1990.3370835641599</v>
      </c>
      <c r="L188" s="914">
        <f>+SUM(D189:D$501)</f>
        <v>174.67255296135082</v>
      </c>
      <c r="M188" s="914">
        <f>+SUM(E189:E$501)</f>
        <v>6983.7110473377679</v>
      </c>
      <c r="N188" s="914">
        <f>+SUM(F189:F$501)</f>
        <v>16.222817714093303</v>
      </c>
      <c r="O188" s="914">
        <f>+SUM(G189:G$501)</f>
        <v>9164.943501577367</v>
      </c>
      <c r="P188" s="11">
        <f t="shared" si="13"/>
        <v>10.569669013128401</v>
      </c>
      <c r="Q188" s="913">
        <f t="shared" si="14"/>
        <v>0</v>
      </c>
      <c r="R188" s="11">
        <f t="shared" si="15"/>
        <v>1.6900169761500002E-2</v>
      </c>
      <c r="S188" s="913">
        <f t="shared" si="16"/>
        <v>60</v>
      </c>
    </row>
    <row r="189" spans="1:19" x14ac:dyDescent="0.2">
      <c r="A189" s="11">
        <f t="shared" si="17"/>
        <v>187</v>
      </c>
      <c r="B189" s="11">
        <v>3.1690199310999998</v>
      </c>
      <c r="C189" s="11"/>
      <c r="D189" s="11"/>
      <c r="E189" s="11">
        <v>10.816906556399999</v>
      </c>
      <c r="F189" s="11"/>
      <c r="G189" s="11">
        <v>13.985926487499999</v>
      </c>
      <c r="H189" s="11"/>
      <c r="I189" s="914">
        <f>+SUM(B190:B$501)</f>
        <v>1534.5875247992369</v>
      </c>
      <c r="J189" s="914">
        <f>+SUM(C190:C$501)</f>
        <v>452.58053883382308</v>
      </c>
      <c r="K189" s="914">
        <f t="shared" si="12"/>
        <v>1987.16806363306</v>
      </c>
      <c r="L189" s="914">
        <f>+SUM(D190:D$501)</f>
        <v>174.67255296135082</v>
      </c>
      <c r="M189" s="914">
        <f>+SUM(E190:E$501)</f>
        <v>6972.8941407813682</v>
      </c>
      <c r="N189" s="914">
        <f>+SUM(F190:F$501)</f>
        <v>16.222817714093303</v>
      </c>
      <c r="O189" s="914">
        <f>+SUM(G190:G$501)</f>
        <v>9150.9575750898657</v>
      </c>
      <c r="P189" s="11">
        <f t="shared" si="13"/>
        <v>10.816906556399999</v>
      </c>
      <c r="Q189" s="913">
        <f t="shared" si="14"/>
        <v>0</v>
      </c>
      <c r="R189" s="11">
        <f t="shared" si="15"/>
        <v>1.6900169761500002E-2</v>
      </c>
      <c r="S189" s="913">
        <f t="shared" si="16"/>
        <v>59</v>
      </c>
    </row>
    <row r="190" spans="1:19" x14ac:dyDescent="0.2">
      <c r="A190" s="11">
        <f t="shared" si="17"/>
        <v>188</v>
      </c>
      <c r="B190" s="11">
        <v>2.4915055372100001</v>
      </c>
      <c r="C190" s="11"/>
      <c r="D190" s="11"/>
      <c r="E190" s="11">
        <v>14.107648016300001</v>
      </c>
      <c r="F190" s="11"/>
      <c r="G190" s="11">
        <v>16.59915355351</v>
      </c>
      <c r="H190" s="11"/>
      <c r="I190" s="914">
        <f>+SUM(B191:B$501)</f>
        <v>1532.0960192620269</v>
      </c>
      <c r="J190" s="914">
        <f>+SUM(C191:C$501)</f>
        <v>452.58053883382308</v>
      </c>
      <c r="K190" s="914">
        <f t="shared" si="12"/>
        <v>1984.6765580958499</v>
      </c>
      <c r="L190" s="914">
        <f>+SUM(D191:D$501)</f>
        <v>174.67255296135082</v>
      </c>
      <c r="M190" s="914">
        <f>+SUM(E191:E$501)</f>
        <v>6958.7864927650689</v>
      </c>
      <c r="N190" s="914">
        <f>+SUM(F191:F$501)</f>
        <v>16.222817714093303</v>
      </c>
      <c r="O190" s="914">
        <f>+SUM(G191:G$501)</f>
        <v>9134.3584215363553</v>
      </c>
      <c r="P190" s="11">
        <f t="shared" si="13"/>
        <v>14.107648016300001</v>
      </c>
      <c r="Q190" s="913">
        <f t="shared" si="14"/>
        <v>0</v>
      </c>
      <c r="R190" s="11">
        <f t="shared" si="15"/>
        <v>1.6900169761500002E-2</v>
      </c>
      <c r="S190" s="913">
        <f t="shared" si="16"/>
        <v>58</v>
      </c>
    </row>
    <row r="191" spans="1:19" x14ac:dyDescent="0.2">
      <c r="A191" s="11">
        <f t="shared" si="17"/>
        <v>189</v>
      </c>
      <c r="B191" s="11">
        <v>1.3526951705600001</v>
      </c>
      <c r="C191" s="11"/>
      <c r="D191" s="11"/>
      <c r="E191" s="11">
        <v>16.661898090099999</v>
      </c>
      <c r="F191" s="11"/>
      <c r="G191" s="11">
        <v>18.01459326066</v>
      </c>
      <c r="H191" s="11"/>
      <c r="I191" s="914">
        <f>+SUM(B192:B$501)</f>
        <v>1530.7433240914668</v>
      </c>
      <c r="J191" s="914">
        <f>+SUM(C192:C$501)</f>
        <v>452.58053883382308</v>
      </c>
      <c r="K191" s="914">
        <f t="shared" si="12"/>
        <v>1983.3238629252899</v>
      </c>
      <c r="L191" s="914">
        <f>+SUM(D192:D$501)</f>
        <v>174.67255296135082</v>
      </c>
      <c r="M191" s="914">
        <f>+SUM(E192:E$501)</f>
        <v>6942.1245946749686</v>
      </c>
      <c r="N191" s="914">
        <f>+SUM(F192:F$501)</f>
        <v>16.222817714093303</v>
      </c>
      <c r="O191" s="914">
        <f>+SUM(G192:G$501)</f>
        <v>9116.3438282756979</v>
      </c>
      <c r="P191" s="11">
        <f t="shared" si="13"/>
        <v>16.661898090099999</v>
      </c>
      <c r="Q191" s="913">
        <f t="shared" si="14"/>
        <v>0</v>
      </c>
      <c r="R191" s="11">
        <f t="shared" si="15"/>
        <v>1.6900169761500002E-2</v>
      </c>
      <c r="S191" s="913">
        <f t="shared" si="16"/>
        <v>57</v>
      </c>
    </row>
    <row r="192" spans="1:19" x14ac:dyDescent="0.2">
      <c r="A192" s="11">
        <f t="shared" si="17"/>
        <v>190</v>
      </c>
      <c r="B192" s="11">
        <v>1.1411479467581001</v>
      </c>
      <c r="C192" s="11"/>
      <c r="D192" s="11"/>
      <c r="E192" s="11">
        <v>18.423200125899999</v>
      </c>
      <c r="F192" s="11"/>
      <c r="G192" s="11">
        <v>19.564348072658099</v>
      </c>
      <c r="H192" s="11"/>
      <c r="I192" s="914">
        <f>+SUM(B193:B$501)</f>
        <v>1529.6021761447087</v>
      </c>
      <c r="J192" s="914">
        <f>+SUM(C193:C$501)</f>
        <v>452.58053883382308</v>
      </c>
      <c r="K192" s="914">
        <f t="shared" si="12"/>
        <v>1982.1827149785317</v>
      </c>
      <c r="L192" s="914">
        <f>+SUM(D193:D$501)</f>
        <v>174.67255296135082</v>
      </c>
      <c r="M192" s="914">
        <f>+SUM(E193:E$501)</f>
        <v>6923.701394549068</v>
      </c>
      <c r="N192" s="914">
        <f>+SUM(F193:F$501)</f>
        <v>16.222817714093303</v>
      </c>
      <c r="O192" s="914">
        <f>+SUM(G193:G$501)</f>
        <v>9096.7794802030403</v>
      </c>
      <c r="P192" s="11">
        <f t="shared" si="13"/>
        <v>18.423200125899999</v>
      </c>
      <c r="Q192" s="913">
        <f t="shared" si="14"/>
        <v>0</v>
      </c>
      <c r="R192" s="11">
        <f t="shared" si="15"/>
        <v>1.6900169761500002E-2</v>
      </c>
      <c r="S192" s="913">
        <f t="shared" si="16"/>
        <v>56</v>
      </c>
    </row>
    <row r="193" spans="1:19" x14ac:dyDescent="0.2">
      <c r="A193" s="11">
        <f t="shared" si="17"/>
        <v>191</v>
      </c>
      <c r="B193" s="11">
        <v>4.0497133522139004</v>
      </c>
      <c r="C193" s="11"/>
      <c r="D193" s="11"/>
      <c r="E193" s="11">
        <v>19.001656085299999</v>
      </c>
      <c r="F193" s="11"/>
      <c r="G193" s="11">
        <v>23.051369437513898</v>
      </c>
      <c r="H193" s="11"/>
      <c r="I193" s="914">
        <f>+SUM(B194:B$501)</f>
        <v>1525.5524627924947</v>
      </c>
      <c r="J193" s="914">
        <f>+SUM(C194:C$501)</f>
        <v>452.58053883382308</v>
      </c>
      <c r="K193" s="914">
        <f t="shared" si="12"/>
        <v>1978.1330016263178</v>
      </c>
      <c r="L193" s="914">
        <f>+SUM(D194:D$501)</f>
        <v>174.67255296135082</v>
      </c>
      <c r="M193" s="914">
        <f>+SUM(E194:E$501)</f>
        <v>6904.699738463768</v>
      </c>
      <c r="N193" s="914">
        <f>+SUM(F194:F$501)</f>
        <v>16.222817714093303</v>
      </c>
      <c r="O193" s="914">
        <f>+SUM(G194:G$501)</f>
        <v>9073.7281107655253</v>
      </c>
      <c r="P193" s="11">
        <f t="shared" si="13"/>
        <v>19.001656085299999</v>
      </c>
      <c r="Q193" s="913">
        <f t="shared" si="14"/>
        <v>0</v>
      </c>
      <c r="R193" s="11">
        <f t="shared" si="15"/>
        <v>1.6900169761500002E-2</v>
      </c>
      <c r="S193" s="913">
        <f t="shared" si="16"/>
        <v>55</v>
      </c>
    </row>
    <row r="194" spans="1:19" x14ac:dyDescent="0.2">
      <c r="A194" s="11">
        <f t="shared" si="17"/>
        <v>192</v>
      </c>
      <c r="B194" s="11">
        <v>6.3886831713167007</v>
      </c>
      <c r="C194" s="11"/>
      <c r="D194" s="11"/>
      <c r="E194" s="11">
        <v>18.833708634099999</v>
      </c>
      <c r="F194" s="11"/>
      <c r="G194" s="11">
        <v>25.222391805416699</v>
      </c>
      <c r="H194" s="11"/>
      <c r="I194" s="914">
        <f>+SUM(B195:B$501)</f>
        <v>1519.163779621178</v>
      </c>
      <c r="J194" s="914">
        <f>+SUM(C195:C$501)</f>
        <v>452.58053883382308</v>
      </c>
      <c r="K194" s="914">
        <f t="shared" si="12"/>
        <v>1971.7443184550011</v>
      </c>
      <c r="L194" s="914">
        <f>+SUM(D195:D$501)</f>
        <v>174.67255296135082</v>
      </c>
      <c r="M194" s="914">
        <f>+SUM(E195:E$501)</f>
        <v>6885.8660298296682</v>
      </c>
      <c r="N194" s="914">
        <f>+SUM(F195:F$501)</f>
        <v>16.222817714093303</v>
      </c>
      <c r="O194" s="914">
        <f>+SUM(G195:G$501)</f>
        <v>9048.5057189601066</v>
      </c>
      <c r="P194" s="11">
        <f t="shared" si="13"/>
        <v>18.833708634099999</v>
      </c>
      <c r="Q194" s="913">
        <f t="shared" si="14"/>
        <v>0</v>
      </c>
      <c r="R194" s="11">
        <f t="shared" si="15"/>
        <v>1.6900169761500002E-2</v>
      </c>
      <c r="S194" s="913">
        <f t="shared" si="16"/>
        <v>54</v>
      </c>
    </row>
    <row r="195" spans="1:19" x14ac:dyDescent="0.2">
      <c r="A195" s="11">
        <f t="shared" si="17"/>
        <v>193</v>
      </c>
      <c r="B195" s="11">
        <v>8.3257442593366999</v>
      </c>
      <c r="C195" s="11"/>
      <c r="D195" s="11"/>
      <c r="E195" s="11">
        <v>23.33619885845</v>
      </c>
      <c r="F195" s="11"/>
      <c r="G195" s="11">
        <v>31.661943117786699</v>
      </c>
      <c r="H195" s="11"/>
      <c r="I195" s="914">
        <f>+SUM(B196:B$501)</f>
        <v>1510.8380353618415</v>
      </c>
      <c r="J195" s="914">
        <f>+SUM(C196:C$501)</f>
        <v>452.58053883382308</v>
      </c>
      <c r="K195" s="914">
        <f t="shared" si="12"/>
        <v>1963.4185741956646</v>
      </c>
      <c r="L195" s="914">
        <f>+SUM(D196:D$501)</f>
        <v>174.67255296135082</v>
      </c>
      <c r="M195" s="914">
        <f>+SUM(E196:E$501)</f>
        <v>6862.5298309712171</v>
      </c>
      <c r="N195" s="914">
        <f>+SUM(F196:F$501)</f>
        <v>16.222817714093303</v>
      </c>
      <c r="O195" s="914">
        <f>+SUM(G196:G$501)</f>
        <v>9016.8437758423206</v>
      </c>
      <c r="P195" s="11">
        <f t="shared" si="13"/>
        <v>23.33619885845</v>
      </c>
      <c r="Q195" s="913">
        <f t="shared" si="14"/>
        <v>0</v>
      </c>
      <c r="R195" s="11">
        <f t="shared" si="15"/>
        <v>1.6900169761500002E-2</v>
      </c>
      <c r="S195" s="913">
        <f t="shared" si="16"/>
        <v>53</v>
      </c>
    </row>
    <row r="196" spans="1:19" x14ac:dyDescent="0.2">
      <c r="A196" s="11">
        <f t="shared" si="17"/>
        <v>194</v>
      </c>
      <c r="B196" s="11">
        <v>4.9842162773018002</v>
      </c>
      <c r="C196" s="11"/>
      <c r="D196" s="11"/>
      <c r="E196" s="11">
        <v>30.768121503061</v>
      </c>
      <c r="F196" s="11"/>
      <c r="G196" s="11">
        <v>35.752337780362801</v>
      </c>
      <c r="H196" s="11"/>
      <c r="I196" s="914">
        <f>+SUM(B197:B$501)</f>
        <v>1505.8538190845395</v>
      </c>
      <c r="J196" s="914">
        <f>+SUM(C197:C$501)</f>
        <v>452.58053883382308</v>
      </c>
      <c r="K196" s="914">
        <f t="shared" ref="K196:K259" si="18">+I196+J196</f>
        <v>1958.4343579183626</v>
      </c>
      <c r="L196" s="914">
        <f>+SUM(D197:D$501)</f>
        <v>174.67255296135082</v>
      </c>
      <c r="M196" s="914">
        <f>+SUM(E197:E$501)</f>
        <v>6831.7617094681564</v>
      </c>
      <c r="N196" s="914">
        <f>+SUM(F197:F$501)</f>
        <v>16.222817714093303</v>
      </c>
      <c r="O196" s="914">
        <f>+SUM(G197:G$501)</f>
        <v>8981.0914380619615</v>
      </c>
      <c r="P196" s="11">
        <f t="shared" ref="P196:P259" si="19">IF(E196&gt;0,E196,P197)</f>
        <v>30.768121503061</v>
      </c>
      <c r="Q196" s="913">
        <f t="shared" ref="Q196:Q259" si="20">+IF(E196&gt;0, 0, Q197+A197-A196)</f>
        <v>0</v>
      </c>
      <c r="R196" s="11">
        <f t="shared" ref="R196:R259" si="21">IF(F196&gt;0,F196,R197)</f>
        <v>1.6900169761500002E-2</v>
      </c>
      <c r="S196" s="913">
        <f t="shared" ref="S196:S259" si="22">+IF(F196&gt;0, 0, S197+A197-A196)</f>
        <v>52</v>
      </c>
    </row>
    <row r="197" spans="1:19" x14ac:dyDescent="0.2">
      <c r="A197" s="11">
        <f t="shared" si="17"/>
        <v>195</v>
      </c>
      <c r="B197" s="11">
        <v>5.1040427971578719</v>
      </c>
      <c r="C197" s="11"/>
      <c r="D197" s="11"/>
      <c r="E197" s="11">
        <v>33.966223182030006</v>
      </c>
      <c r="F197" s="11"/>
      <c r="G197" s="11">
        <v>39.07026597918788</v>
      </c>
      <c r="H197" s="11"/>
      <c r="I197" s="914">
        <f>+SUM(B198:B$501)</f>
        <v>1500.7497762873818</v>
      </c>
      <c r="J197" s="914">
        <f>+SUM(C198:C$501)</f>
        <v>452.58053883382308</v>
      </c>
      <c r="K197" s="914">
        <f t="shared" si="18"/>
        <v>1953.3303151212049</v>
      </c>
      <c r="L197" s="914">
        <f>+SUM(D198:D$501)</f>
        <v>174.67255296135082</v>
      </c>
      <c r="M197" s="914">
        <f>+SUM(E198:E$501)</f>
        <v>6797.7954862861252</v>
      </c>
      <c r="N197" s="914">
        <f>+SUM(F198:F$501)</f>
        <v>16.222817714093303</v>
      </c>
      <c r="O197" s="914">
        <f>+SUM(G198:G$501)</f>
        <v>8942.021172082772</v>
      </c>
      <c r="P197" s="11">
        <f t="shared" si="19"/>
        <v>33.966223182030006</v>
      </c>
      <c r="Q197" s="913">
        <f t="shared" si="20"/>
        <v>0</v>
      </c>
      <c r="R197" s="11">
        <f t="shared" si="21"/>
        <v>1.6900169761500002E-2</v>
      </c>
      <c r="S197" s="913">
        <f t="shared" si="22"/>
        <v>51</v>
      </c>
    </row>
    <row r="198" spans="1:19" x14ac:dyDescent="0.2">
      <c r="A198" s="11">
        <f t="shared" ref="A198:A261" si="23">1+A197</f>
        <v>196</v>
      </c>
      <c r="B198" s="11">
        <v>9.168658958124599</v>
      </c>
      <c r="C198" s="11"/>
      <c r="D198" s="11"/>
      <c r="E198" s="11">
        <v>27.318815509101</v>
      </c>
      <c r="F198" s="11"/>
      <c r="G198" s="11">
        <v>36.487474467225596</v>
      </c>
      <c r="H198" s="11"/>
      <c r="I198" s="914">
        <f>+SUM(B199:B$501)</f>
        <v>1491.581117329257</v>
      </c>
      <c r="J198" s="914">
        <f>+SUM(C199:C$501)</f>
        <v>452.58053883382308</v>
      </c>
      <c r="K198" s="914">
        <f t="shared" si="18"/>
        <v>1944.1616561630801</v>
      </c>
      <c r="L198" s="914">
        <f>+SUM(D199:D$501)</f>
        <v>174.67255296135082</v>
      </c>
      <c r="M198" s="914">
        <f>+SUM(E199:E$501)</f>
        <v>6770.4766707770241</v>
      </c>
      <c r="N198" s="914">
        <f>+SUM(F199:F$501)</f>
        <v>16.222817714093303</v>
      </c>
      <c r="O198" s="914">
        <f>+SUM(G199:G$501)</f>
        <v>8905.5336976155468</v>
      </c>
      <c r="P198" s="11">
        <f t="shared" si="19"/>
        <v>27.318815509101</v>
      </c>
      <c r="Q198" s="913">
        <f t="shared" si="20"/>
        <v>0</v>
      </c>
      <c r="R198" s="11">
        <f t="shared" si="21"/>
        <v>1.6900169761500002E-2</v>
      </c>
      <c r="S198" s="913">
        <f t="shared" si="22"/>
        <v>50</v>
      </c>
    </row>
    <row r="199" spans="1:19" x14ac:dyDescent="0.2">
      <c r="A199" s="11">
        <f t="shared" si="23"/>
        <v>197</v>
      </c>
      <c r="B199" s="11">
        <v>9.8281336647551001</v>
      </c>
      <c r="C199" s="11"/>
      <c r="D199" s="11"/>
      <c r="E199" s="11">
        <v>23.7497379475545</v>
      </c>
      <c r="F199" s="11"/>
      <c r="G199" s="11">
        <v>33.5778716123096</v>
      </c>
      <c r="H199" s="11"/>
      <c r="I199" s="914">
        <f>+SUM(B200:B$501)</f>
        <v>1481.7529836645019</v>
      </c>
      <c r="J199" s="914">
        <f>+SUM(C200:C$501)</f>
        <v>452.58053883382308</v>
      </c>
      <c r="K199" s="914">
        <f t="shared" si="18"/>
        <v>1934.333522498325</v>
      </c>
      <c r="L199" s="914">
        <f>+SUM(D200:D$501)</f>
        <v>174.67255296135082</v>
      </c>
      <c r="M199" s="914">
        <f>+SUM(E200:E$501)</f>
        <v>6746.7269328294706</v>
      </c>
      <c r="N199" s="914">
        <f>+SUM(F200:F$501)</f>
        <v>16.222817714093303</v>
      </c>
      <c r="O199" s="914">
        <f>+SUM(G200:G$501)</f>
        <v>8871.9558260032372</v>
      </c>
      <c r="P199" s="11">
        <f t="shared" si="19"/>
        <v>23.7497379475545</v>
      </c>
      <c r="Q199" s="913">
        <f t="shared" si="20"/>
        <v>0</v>
      </c>
      <c r="R199" s="11">
        <f t="shared" si="21"/>
        <v>1.6900169761500002E-2</v>
      </c>
      <c r="S199" s="913">
        <f t="shared" si="22"/>
        <v>49</v>
      </c>
    </row>
    <row r="200" spans="1:19" x14ac:dyDescent="0.2">
      <c r="A200" s="11">
        <f t="shared" si="23"/>
        <v>198</v>
      </c>
      <c r="B200" s="11">
        <v>9.1908330393136008</v>
      </c>
      <c r="C200" s="11"/>
      <c r="D200" s="11"/>
      <c r="E200" s="11">
        <v>15.550998776876</v>
      </c>
      <c r="F200" s="11"/>
      <c r="G200" s="11">
        <v>24.741831816189602</v>
      </c>
      <c r="H200" s="11"/>
      <c r="I200" s="914">
        <f>+SUM(B201:B$501)</f>
        <v>1472.5621506251885</v>
      </c>
      <c r="J200" s="914">
        <f>+SUM(C201:C$501)</f>
        <v>452.58053883382308</v>
      </c>
      <c r="K200" s="914">
        <f t="shared" si="18"/>
        <v>1925.1426894590115</v>
      </c>
      <c r="L200" s="914">
        <f>+SUM(D201:D$501)</f>
        <v>174.67255296135082</v>
      </c>
      <c r="M200" s="914">
        <f>+SUM(E201:E$501)</f>
        <v>6731.1759340525941</v>
      </c>
      <c r="N200" s="914">
        <f>+SUM(F201:F$501)</f>
        <v>16.222817714093303</v>
      </c>
      <c r="O200" s="914">
        <f>+SUM(G201:G$501)</f>
        <v>8847.21399418705</v>
      </c>
      <c r="P200" s="11">
        <f t="shared" si="19"/>
        <v>15.550998776876</v>
      </c>
      <c r="Q200" s="913">
        <f t="shared" si="20"/>
        <v>0</v>
      </c>
      <c r="R200" s="11">
        <f t="shared" si="21"/>
        <v>1.6900169761500002E-2</v>
      </c>
      <c r="S200" s="913">
        <f t="shared" si="22"/>
        <v>48</v>
      </c>
    </row>
    <row r="201" spans="1:19" x14ac:dyDescent="0.2">
      <c r="A201" s="11">
        <f t="shared" si="23"/>
        <v>199</v>
      </c>
      <c r="B201" s="11">
        <v>6.5485182018910004</v>
      </c>
      <c r="C201" s="11"/>
      <c r="D201" s="11"/>
      <c r="E201" s="11">
        <v>13.956591256799999</v>
      </c>
      <c r="F201" s="11"/>
      <c r="G201" s="11">
        <v>20.505109458690999</v>
      </c>
      <c r="H201" s="11"/>
      <c r="I201" s="914">
        <f>+SUM(B202:B$501)</f>
        <v>1466.0136324232974</v>
      </c>
      <c r="J201" s="914">
        <f>+SUM(C202:C$501)</f>
        <v>452.58053883382308</v>
      </c>
      <c r="K201" s="914">
        <f t="shared" si="18"/>
        <v>1918.5941712571205</v>
      </c>
      <c r="L201" s="914">
        <f>+SUM(D202:D$501)</f>
        <v>174.67255296135082</v>
      </c>
      <c r="M201" s="914">
        <f>+SUM(E202:E$501)</f>
        <v>6717.2193427957945</v>
      </c>
      <c r="N201" s="914">
        <f>+SUM(F202:F$501)</f>
        <v>16.222817714093303</v>
      </c>
      <c r="O201" s="914">
        <f>+SUM(G202:G$501)</f>
        <v>8826.7088847283576</v>
      </c>
      <c r="P201" s="11">
        <f t="shared" si="19"/>
        <v>13.956591256799999</v>
      </c>
      <c r="Q201" s="913">
        <f t="shared" si="20"/>
        <v>0</v>
      </c>
      <c r="R201" s="11">
        <f t="shared" si="21"/>
        <v>1.6900169761500002E-2</v>
      </c>
      <c r="S201" s="913">
        <f t="shared" si="22"/>
        <v>47</v>
      </c>
    </row>
    <row r="202" spans="1:19" x14ac:dyDescent="0.2">
      <c r="A202" s="11">
        <f t="shared" si="23"/>
        <v>200</v>
      </c>
      <c r="B202" s="11">
        <v>2.7502073185347378</v>
      </c>
      <c r="C202" s="11"/>
      <c r="D202" s="11"/>
      <c r="E202" s="11">
        <v>12.2762092353</v>
      </c>
      <c r="F202" s="11"/>
      <c r="G202" s="11">
        <v>15.026416553834737</v>
      </c>
      <c r="H202" s="11"/>
      <c r="I202" s="914">
        <f>+SUM(B203:B$501)</f>
        <v>1463.2634251047627</v>
      </c>
      <c r="J202" s="914">
        <f>+SUM(C203:C$501)</f>
        <v>452.58053883382308</v>
      </c>
      <c r="K202" s="914">
        <f t="shared" si="18"/>
        <v>1915.8439639385858</v>
      </c>
      <c r="L202" s="914">
        <f>+SUM(D203:D$501)</f>
        <v>174.67255296135082</v>
      </c>
      <c r="M202" s="914">
        <f>+SUM(E203:E$501)</f>
        <v>6704.9431335604941</v>
      </c>
      <c r="N202" s="914">
        <f>+SUM(F203:F$501)</f>
        <v>16.222817714093303</v>
      </c>
      <c r="O202" s="914">
        <f>+SUM(G203:G$501)</f>
        <v>8811.6824681745238</v>
      </c>
      <c r="P202" s="11">
        <f t="shared" si="19"/>
        <v>12.2762092353</v>
      </c>
      <c r="Q202" s="913">
        <f t="shared" si="20"/>
        <v>0</v>
      </c>
      <c r="R202" s="11">
        <f t="shared" si="21"/>
        <v>1.6900169761500002E-2</v>
      </c>
      <c r="S202" s="913">
        <f t="shared" si="22"/>
        <v>46</v>
      </c>
    </row>
    <row r="203" spans="1:19" x14ac:dyDescent="0.2">
      <c r="A203" s="11">
        <f t="shared" si="23"/>
        <v>201</v>
      </c>
      <c r="B203" s="11">
        <v>2.4061592791492501</v>
      </c>
      <c r="C203" s="11"/>
      <c r="D203" s="11"/>
      <c r="E203" s="11">
        <v>7.3053154020399997</v>
      </c>
      <c r="F203" s="11"/>
      <c r="G203" s="11">
        <v>9.7114746811892498</v>
      </c>
      <c r="H203" s="11"/>
      <c r="I203" s="914">
        <f>+SUM(B204:B$501)</f>
        <v>1460.8572658256135</v>
      </c>
      <c r="J203" s="914">
        <f>+SUM(C204:C$501)</f>
        <v>452.58053883382308</v>
      </c>
      <c r="K203" s="914">
        <f t="shared" si="18"/>
        <v>1913.4378046594366</v>
      </c>
      <c r="L203" s="914">
        <f>+SUM(D204:D$501)</f>
        <v>174.67255296135082</v>
      </c>
      <c r="M203" s="914">
        <f>+SUM(E204:E$501)</f>
        <v>6697.6378181584541</v>
      </c>
      <c r="N203" s="914">
        <f>+SUM(F204:F$501)</f>
        <v>16.222817714093303</v>
      </c>
      <c r="O203" s="914">
        <f>+SUM(G204:G$501)</f>
        <v>8801.9709934933344</v>
      </c>
      <c r="P203" s="11">
        <f t="shared" si="19"/>
        <v>7.3053154020399997</v>
      </c>
      <c r="Q203" s="913">
        <f t="shared" si="20"/>
        <v>0</v>
      </c>
      <c r="R203" s="11">
        <f t="shared" si="21"/>
        <v>1.6900169761500002E-2</v>
      </c>
      <c r="S203" s="913">
        <f t="shared" si="22"/>
        <v>45</v>
      </c>
    </row>
    <row r="204" spans="1:19" x14ac:dyDescent="0.2">
      <c r="A204" s="11">
        <f t="shared" si="23"/>
        <v>202</v>
      </c>
      <c r="B204" s="11">
        <v>3.3212584353850998</v>
      </c>
      <c r="C204" s="11"/>
      <c r="D204" s="11"/>
      <c r="E204" s="11">
        <v>6.83038705435</v>
      </c>
      <c r="F204" s="11"/>
      <c r="G204" s="11">
        <v>10.151645489735099</v>
      </c>
      <c r="H204" s="11"/>
      <c r="I204" s="914">
        <f>+SUM(B205:B$501)</f>
        <v>1457.5360073902284</v>
      </c>
      <c r="J204" s="914">
        <f>+SUM(C205:C$501)</f>
        <v>452.58053883382308</v>
      </c>
      <c r="K204" s="914">
        <f t="shared" si="18"/>
        <v>1910.1165462240515</v>
      </c>
      <c r="L204" s="914">
        <f>+SUM(D205:D$501)</f>
        <v>174.67255296135082</v>
      </c>
      <c r="M204" s="914">
        <f>+SUM(E205:E$501)</f>
        <v>6690.8074311041046</v>
      </c>
      <c r="N204" s="914">
        <f>+SUM(F205:F$501)</f>
        <v>16.222817714093303</v>
      </c>
      <c r="O204" s="914">
        <f>+SUM(G205:G$501)</f>
        <v>8791.8193480035989</v>
      </c>
      <c r="P204" s="11">
        <f t="shared" si="19"/>
        <v>6.83038705435</v>
      </c>
      <c r="Q204" s="913">
        <f t="shared" si="20"/>
        <v>0</v>
      </c>
      <c r="R204" s="11">
        <f t="shared" si="21"/>
        <v>1.6900169761500002E-2</v>
      </c>
      <c r="S204" s="913">
        <f t="shared" si="22"/>
        <v>44</v>
      </c>
    </row>
    <row r="205" spans="1:19" x14ac:dyDescent="0.2">
      <c r="A205" s="11">
        <f t="shared" si="23"/>
        <v>203</v>
      </c>
      <c r="B205" s="11">
        <v>3.2148248967569</v>
      </c>
      <c r="C205" s="11"/>
      <c r="D205" s="11"/>
      <c r="E205" s="11">
        <v>6.4487059096820003</v>
      </c>
      <c r="F205" s="11"/>
      <c r="G205" s="11">
        <v>9.6635308064388994</v>
      </c>
      <c r="H205" s="11"/>
      <c r="I205" s="914">
        <f>+SUM(B206:B$501)</f>
        <v>1454.3211824934715</v>
      </c>
      <c r="J205" s="914">
        <f>+SUM(C206:C$501)</f>
        <v>452.58053883382308</v>
      </c>
      <c r="K205" s="914">
        <f t="shared" si="18"/>
        <v>1906.9017213272946</v>
      </c>
      <c r="L205" s="914">
        <f>+SUM(D206:D$501)</f>
        <v>174.67255296135082</v>
      </c>
      <c r="M205" s="914">
        <f>+SUM(E206:E$501)</f>
        <v>6684.3587251944218</v>
      </c>
      <c r="N205" s="914">
        <f>+SUM(F206:F$501)</f>
        <v>16.222817714093303</v>
      </c>
      <c r="O205" s="914">
        <f>+SUM(G206:G$501)</f>
        <v>8782.1558171971592</v>
      </c>
      <c r="P205" s="11">
        <f t="shared" si="19"/>
        <v>6.4487059096820003</v>
      </c>
      <c r="Q205" s="913">
        <f t="shared" si="20"/>
        <v>0</v>
      </c>
      <c r="R205" s="11">
        <f t="shared" si="21"/>
        <v>1.6900169761500002E-2</v>
      </c>
      <c r="S205" s="913">
        <f t="shared" si="22"/>
        <v>43</v>
      </c>
    </row>
    <row r="206" spans="1:19" x14ac:dyDescent="0.2">
      <c r="A206" s="11">
        <f t="shared" si="23"/>
        <v>204</v>
      </c>
      <c r="B206" s="11">
        <v>2.7620793514009998</v>
      </c>
      <c r="C206" s="11"/>
      <c r="D206" s="11"/>
      <c r="E206" s="11">
        <v>5.9990341437818007</v>
      </c>
      <c r="F206" s="11"/>
      <c r="G206" s="11">
        <v>8.7611134951828014</v>
      </c>
      <c r="H206" s="11"/>
      <c r="I206" s="914">
        <f>+SUM(B207:B$501)</f>
        <v>1451.5591031420704</v>
      </c>
      <c r="J206" s="914">
        <f>+SUM(C207:C$501)</f>
        <v>452.58053883382308</v>
      </c>
      <c r="K206" s="914">
        <f t="shared" si="18"/>
        <v>1904.1396419758935</v>
      </c>
      <c r="L206" s="914">
        <f>+SUM(D207:D$501)</f>
        <v>174.67255296135082</v>
      </c>
      <c r="M206" s="914">
        <f>+SUM(E207:E$501)</f>
        <v>6678.3596910506412</v>
      </c>
      <c r="N206" s="914">
        <f>+SUM(F207:F$501)</f>
        <v>16.222817714093303</v>
      </c>
      <c r="O206" s="914">
        <f>+SUM(G207:G$501)</f>
        <v>8773.3947037019771</v>
      </c>
      <c r="P206" s="11">
        <f t="shared" si="19"/>
        <v>5.9990341437818007</v>
      </c>
      <c r="Q206" s="913">
        <f t="shared" si="20"/>
        <v>0</v>
      </c>
      <c r="R206" s="11">
        <f t="shared" si="21"/>
        <v>1.6900169761500002E-2</v>
      </c>
      <c r="S206" s="913">
        <f t="shared" si="22"/>
        <v>42</v>
      </c>
    </row>
    <row r="207" spans="1:19" x14ac:dyDescent="0.2">
      <c r="A207" s="11">
        <f t="shared" si="23"/>
        <v>205</v>
      </c>
      <c r="B207" s="11">
        <v>3.6453915153288001</v>
      </c>
      <c r="C207" s="11"/>
      <c r="D207" s="11"/>
      <c r="E207" s="11">
        <v>6.2098902193500001</v>
      </c>
      <c r="F207" s="11"/>
      <c r="G207" s="11">
        <v>9.8552817346788011</v>
      </c>
      <c r="H207" s="11"/>
      <c r="I207" s="914">
        <f>+SUM(B208:B$501)</f>
        <v>1447.9137116267416</v>
      </c>
      <c r="J207" s="914">
        <f>+SUM(C208:C$501)</f>
        <v>452.58053883382308</v>
      </c>
      <c r="K207" s="914">
        <f t="shared" si="18"/>
        <v>1900.4942504605647</v>
      </c>
      <c r="L207" s="914">
        <f>+SUM(D208:D$501)</f>
        <v>174.67255296135082</v>
      </c>
      <c r="M207" s="914">
        <f>+SUM(E208:E$501)</f>
        <v>6672.149800831291</v>
      </c>
      <c r="N207" s="914">
        <f>+SUM(F208:F$501)</f>
        <v>16.222817714093303</v>
      </c>
      <c r="O207" s="914">
        <f>+SUM(G208:G$501)</f>
        <v>8763.539421967298</v>
      </c>
      <c r="P207" s="11">
        <f t="shared" si="19"/>
        <v>6.2098902193500001</v>
      </c>
      <c r="Q207" s="913">
        <f t="shared" si="20"/>
        <v>0</v>
      </c>
      <c r="R207" s="11">
        <f t="shared" si="21"/>
        <v>1.6900169761500002E-2</v>
      </c>
      <c r="S207" s="913">
        <f t="shared" si="22"/>
        <v>41</v>
      </c>
    </row>
    <row r="208" spans="1:19" x14ac:dyDescent="0.2">
      <c r="A208" s="11">
        <f t="shared" si="23"/>
        <v>206</v>
      </c>
      <c r="B208" s="11">
        <v>4.2305298375120399</v>
      </c>
      <c r="C208" s="11"/>
      <c r="D208" s="11"/>
      <c r="E208" s="11">
        <v>5.4260354567600002</v>
      </c>
      <c r="F208" s="11"/>
      <c r="G208" s="11">
        <v>9.6565652942720401</v>
      </c>
      <c r="H208" s="11"/>
      <c r="I208" s="914">
        <f>+SUM(B209:B$501)</f>
        <v>1443.6831817892296</v>
      </c>
      <c r="J208" s="914">
        <f>+SUM(C209:C$501)</f>
        <v>452.58053883382308</v>
      </c>
      <c r="K208" s="914">
        <f t="shared" si="18"/>
        <v>1896.2637206230527</v>
      </c>
      <c r="L208" s="914">
        <f>+SUM(D209:D$501)</f>
        <v>174.67255296135082</v>
      </c>
      <c r="M208" s="914">
        <f>+SUM(E209:E$501)</f>
        <v>6666.7237653745315</v>
      </c>
      <c r="N208" s="914">
        <f>+SUM(F209:F$501)</f>
        <v>16.222817714093303</v>
      </c>
      <c r="O208" s="914">
        <f>+SUM(G209:G$501)</f>
        <v>8753.8828566730263</v>
      </c>
      <c r="P208" s="11">
        <f t="shared" si="19"/>
        <v>5.4260354567600002</v>
      </c>
      <c r="Q208" s="913">
        <f t="shared" si="20"/>
        <v>0</v>
      </c>
      <c r="R208" s="11">
        <f t="shared" si="21"/>
        <v>1.6900169761500002E-2</v>
      </c>
      <c r="S208" s="913">
        <f t="shared" si="22"/>
        <v>40</v>
      </c>
    </row>
    <row r="209" spans="1:19" x14ac:dyDescent="0.2">
      <c r="A209" s="11">
        <f t="shared" si="23"/>
        <v>207</v>
      </c>
      <c r="B209" s="11">
        <v>4.9217150652520996</v>
      </c>
      <c r="C209" s="11"/>
      <c r="D209" s="11"/>
      <c r="E209" s="11">
        <v>4.6488452263199997</v>
      </c>
      <c r="F209" s="11"/>
      <c r="G209" s="11">
        <v>9.5705602915721002</v>
      </c>
      <c r="H209" s="11"/>
      <c r="I209" s="914">
        <f>+SUM(B210:B$501)</f>
        <v>1438.7614667239775</v>
      </c>
      <c r="J209" s="914">
        <f>+SUM(C210:C$501)</f>
        <v>452.58053883382308</v>
      </c>
      <c r="K209" s="914">
        <f t="shared" si="18"/>
        <v>1891.3420055578006</v>
      </c>
      <c r="L209" s="914">
        <f>+SUM(D210:D$501)</f>
        <v>174.67255296135082</v>
      </c>
      <c r="M209" s="914">
        <f>+SUM(E210:E$501)</f>
        <v>6662.0749201482113</v>
      </c>
      <c r="N209" s="914">
        <f>+SUM(F210:F$501)</f>
        <v>16.222817714093303</v>
      </c>
      <c r="O209" s="914">
        <f>+SUM(G210:G$501)</f>
        <v>8744.3122963814531</v>
      </c>
      <c r="P209" s="11">
        <f t="shared" si="19"/>
        <v>4.6488452263199997</v>
      </c>
      <c r="Q209" s="913">
        <f t="shared" si="20"/>
        <v>0</v>
      </c>
      <c r="R209" s="11">
        <f t="shared" si="21"/>
        <v>1.6900169761500002E-2</v>
      </c>
      <c r="S209" s="913">
        <f t="shared" si="22"/>
        <v>39</v>
      </c>
    </row>
    <row r="210" spans="1:19" x14ac:dyDescent="0.2">
      <c r="A210" s="11">
        <f t="shared" si="23"/>
        <v>208</v>
      </c>
      <c r="B210" s="11">
        <v>1.5201971901398998</v>
      </c>
      <c r="C210" s="11">
        <v>3.9273395560219999</v>
      </c>
      <c r="D210" s="11"/>
      <c r="E210" s="11">
        <v>4.2516685700631003</v>
      </c>
      <c r="F210" s="11"/>
      <c r="G210" s="11">
        <v>9.6992053162250009</v>
      </c>
      <c r="H210" s="11"/>
      <c r="I210" s="914">
        <f>+SUM(B211:B$501)</f>
        <v>1437.2412695338376</v>
      </c>
      <c r="J210" s="914">
        <f>+SUM(C211:C$501)</f>
        <v>448.65319927780115</v>
      </c>
      <c r="K210" s="914">
        <f t="shared" si="18"/>
        <v>1885.8944688116387</v>
      </c>
      <c r="L210" s="914">
        <f>+SUM(D211:D$501)</f>
        <v>174.67255296135082</v>
      </c>
      <c r="M210" s="914">
        <f>+SUM(E211:E$501)</f>
        <v>6657.8232515781483</v>
      </c>
      <c r="N210" s="914">
        <f>+SUM(F211:F$501)</f>
        <v>16.222817714093303</v>
      </c>
      <c r="O210" s="914">
        <f>+SUM(G211:G$501)</f>
        <v>8734.6130910652282</v>
      </c>
      <c r="P210" s="11">
        <f t="shared" si="19"/>
        <v>4.2516685700631003</v>
      </c>
      <c r="Q210" s="913">
        <f t="shared" si="20"/>
        <v>0</v>
      </c>
      <c r="R210" s="11">
        <f t="shared" si="21"/>
        <v>1.6900169761500002E-2</v>
      </c>
      <c r="S210" s="913">
        <f t="shared" si="22"/>
        <v>38</v>
      </c>
    </row>
    <row r="211" spans="1:19" x14ac:dyDescent="0.2">
      <c r="A211" s="11">
        <f t="shared" si="23"/>
        <v>209</v>
      </c>
      <c r="B211" s="11">
        <v>1.4878516425199999</v>
      </c>
      <c r="C211" s="11">
        <v>0.47225092359120002</v>
      </c>
      <c r="D211" s="11"/>
      <c r="E211" s="11">
        <v>8.1043751083550006</v>
      </c>
      <c r="F211" s="11"/>
      <c r="G211" s="11">
        <v>10.0644776744662</v>
      </c>
      <c r="H211" s="11"/>
      <c r="I211" s="914">
        <f>+SUM(B212:B$501)</f>
        <v>1435.7534178913177</v>
      </c>
      <c r="J211" s="914">
        <f>+SUM(C212:C$501)</f>
        <v>448.18094835420993</v>
      </c>
      <c r="K211" s="914">
        <f t="shared" si="18"/>
        <v>1883.9343662455276</v>
      </c>
      <c r="L211" s="914">
        <f>+SUM(D212:D$501)</f>
        <v>174.67255296135082</v>
      </c>
      <c r="M211" s="914">
        <f>+SUM(E212:E$501)</f>
        <v>6649.7188764697921</v>
      </c>
      <c r="N211" s="914">
        <f>+SUM(F212:F$501)</f>
        <v>16.222817714093303</v>
      </c>
      <c r="O211" s="914">
        <f>+SUM(G212:G$501)</f>
        <v>8724.5486133907616</v>
      </c>
      <c r="P211" s="11">
        <f t="shared" si="19"/>
        <v>8.1043751083550006</v>
      </c>
      <c r="Q211" s="913">
        <f t="shared" si="20"/>
        <v>0</v>
      </c>
      <c r="R211" s="11">
        <f t="shared" si="21"/>
        <v>1.6900169761500002E-2</v>
      </c>
      <c r="S211" s="913">
        <f t="shared" si="22"/>
        <v>37</v>
      </c>
    </row>
    <row r="212" spans="1:19" x14ac:dyDescent="0.2">
      <c r="A212" s="11">
        <f t="shared" si="23"/>
        <v>210</v>
      </c>
      <c r="B212" s="11">
        <v>3.253403513971</v>
      </c>
      <c r="C212" s="11"/>
      <c r="D212" s="11"/>
      <c r="E212" s="11">
        <v>7.2998915059159994</v>
      </c>
      <c r="F212" s="11"/>
      <c r="G212" s="11">
        <v>10.553295019886999</v>
      </c>
      <c r="H212" s="11"/>
      <c r="I212" s="914">
        <f>+SUM(B213:B$501)</f>
        <v>1432.5000143773466</v>
      </c>
      <c r="J212" s="914">
        <f>+SUM(C213:C$501)</f>
        <v>448.18094835420993</v>
      </c>
      <c r="K212" s="914">
        <f t="shared" si="18"/>
        <v>1880.6809627315565</v>
      </c>
      <c r="L212" s="914">
        <f>+SUM(D213:D$501)</f>
        <v>174.67255296135082</v>
      </c>
      <c r="M212" s="914">
        <f>+SUM(E213:E$501)</f>
        <v>6642.418984963876</v>
      </c>
      <c r="N212" s="914">
        <f>+SUM(F213:F$501)</f>
        <v>16.222817714093303</v>
      </c>
      <c r="O212" s="914">
        <f>+SUM(G213:G$501)</f>
        <v>8713.9953183708749</v>
      </c>
      <c r="P212" s="11">
        <f t="shared" si="19"/>
        <v>7.2998915059159994</v>
      </c>
      <c r="Q212" s="913">
        <f t="shared" si="20"/>
        <v>0</v>
      </c>
      <c r="R212" s="11">
        <f t="shared" si="21"/>
        <v>1.6900169761500002E-2</v>
      </c>
      <c r="S212" s="913">
        <f t="shared" si="22"/>
        <v>36</v>
      </c>
    </row>
    <row r="213" spans="1:19" x14ac:dyDescent="0.2">
      <c r="A213" s="11">
        <f t="shared" si="23"/>
        <v>211</v>
      </c>
      <c r="B213" s="11">
        <v>3.0352886404458999</v>
      </c>
      <c r="C213" s="11"/>
      <c r="D213" s="11"/>
      <c r="E213" s="11">
        <v>8.3038179022899996</v>
      </c>
      <c r="F213" s="11"/>
      <c r="G213" s="11">
        <v>11.3391065427359</v>
      </c>
      <c r="H213" s="11"/>
      <c r="I213" s="914">
        <f>+SUM(B214:B$501)</f>
        <v>1429.4647257369006</v>
      </c>
      <c r="J213" s="914">
        <f>+SUM(C214:C$501)</f>
        <v>448.18094835420993</v>
      </c>
      <c r="K213" s="914">
        <f t="shared" si="18"/>
        <v>1877.6456740911105</v>
      </c>
      <c r="L213" s="914">
        <f>+SUM(D214:D$501)</f>
        <v>174.67255296135082</v>
      </c>
      <c r="M213" s="914">
        <f>+SUM(E214:E$501)</f>
        <v>6634.1151670615864</v>
      </c>
      <c r="N213" s="914">
        <f>+SUM(F214:F$501)</f>
        <v>16.222817714093303</v>
      </c>
      <c r="O213" s="914">
        <f>+SUM(G214:G$501)</f>
        <v>8702.6562118281381</v>
      </c>
      <c r="P213" s="11">
        <f t="shared" si="19"/>
        <v>8.3038179022899996</v>
      </c>
      <c r="Q213" s="913">
        <f t="shared" si="20"/>
        <v>0</v>
      </c>
      <c r="R213" s="11">
        <f t="shared" si="21"/>
        <v>1.6900169761500002E-2</v>
      </c>
      <c r="S213" s="913">
        <f t="shared" si="22"/>
        <v>35</v>
      </c>
    </row>
    <row r="214" spans="1:19" x14ac:dyDescent="0.2">
      <c r="A214" s="11">
        <f t="shared" si="23"/>
        <v>212</v>
      </c>
      <c r="B214" s="11">
        <v>3.0116862341548609</v>
      </c>
      <c r="C214" s="11"/>
      <c r="D214" s="11"/>
      <c r="E214" s="11">
        <v>9.6388658430559992</v>
      </c>
      <c r="F214" s="11"/>
      <c r="G214" s="11">
        <v>12.650552077210861</v>
      </c>
      <c r="H214" s="11"/>
      <c r="I214" s="914">
        <f>+SUM(B215:B$501)</f>
        <v>1426.4530395027459</v>
      </c>
      <c r="J214" s="914">
        <f>+SUM(C215:C$501)</f>
        <v>448.18094835420993</v>
      </c>
      <c r="K214" s="914">
        <f t="shared" si="18"/>
        <v>1874.6339878569559</v>
      </c>
      <c r="L214" s="914">
        <f>+SUM(D215:D$501)</f>
        <v>174.67255296135082</v>
      </c>
      <c r="M214" s="914">
        <f>+SUM(E215:E$501)</f>
        <v>6624.4763012185313</v>
      </c>
      <c r="N214" s="914">
        <f>+SUM(F215:F$501)</f>
        <v>16.222817714093303</v>
      </c>
      <c r="O214" s="914">
        <f>+SUM(G215:G$501)</f>
        <v>8690.0056597509265</v>
      </c>
      <c r="P214" s="11">
        <f t="shared" si="19"/>
        <v>9.6388658430559992</v>
      </c>
      <c r="Q214" s="913">
        <f t="shared" si="20"/>
        <v>0</v>
      </c>
      <c r="R214" s="11">
        <f t="shared" si="21"/>
        <v>1.6900169761500002E-2</v>
      </c>
      <c r="S214" s="913">
        <f t="shared" si="22"/>
        <v>34</v>
      </c>
    </row>
    <row r="215" spans="1:19" x14ac:dyDescent="0.2">
      <c r="A215" s="11">
        <f t="shared" si="23"/>
        <v>213</v>
      </c>
      <c r="B215" s="11">
        <v>3.5799255240905001</v>
      </c>
      <c r="C215" s="11"/>
      <c r="D215" s="11"/>
      <c r="E215" s="11">
        <v>9.469670193612</v>
      </c>
      <c r="F215" s="11"/>
      <c r="G215" s="11">
        <v>13.0495957177025</v>
      </c>
      <c r="H215" s="11"/>
      <c r="I215" s="914">
        <f>+SUM(B216:B$501)</f>
        <v>1422.8731139786555</v>
      </c>
      <c r="J215" s="914">
        <f>+SUM(C216:C$501)</f>
        <v>448.18094835420993</v>
      </c>
      <c r="K215" s="914">
        <f t="shared" si="18"/>
        <v>1871.0540623328654</v>
      </c>
      <c r="L215" s="914">
        <f>+SUM(D216:D$501)</f>
        <v>174.67255296135082</v>
      </c>
      <c r="M215" s="914">
        <f>+SUM(E216:E$501)</f>
        <v>6615.0066310249194</v>
      </c>
      <c r="N215" s="914">
        <f>+SUM(F216:F$501)</f>
        <v>16.222817714093303</v>
      </c>
      <c r="O215" s="914">
        <f>+SUM(G216:G$501)</f>
        <v>8676.9560640332238</v>
      </c>
      <c r="P215" s="11">
        <f t="shared" si="19"/>
        <v>9.469670193612</v>
      </c>
      <c r="Q215" s="913">
        <f t="shared" si="20"/>
        <v>0</v>
      </c>
      <c r="R215" s="11">
        <f t="shared" si="21"/>
        <v>1.6900169761500002E-2</v>
      </c>
      <c r="S215" s="913">
        <f t="shared" si="22"/>
        <v>33</v>
      </c>
    </row>
    <row r="216" spans="1:19" x14ac:dyDescent="0.2">
      <c r="A216" s="11">
        <f t="shared" si="23"/>
        <v>214</v>
      </c>
      <c r="B216" s="11">
        <v>2.6829891357110003</v>
      </c>
      <c r="C216" s="11"/>
      <c r="D216" s="11"/>
      <c r="E216" s="11">
        <v>10.81554151327</v>
      </c>
      <c r="F216" s="11"/>
      <c r="G216" s="11">
        <v>13.498530648981001</v>
      </c>
      <c r="H216" s="11"/>
      <c r="I216" s="914">
        <f>+SUM(B217:B$501)</f>
        <v>1420.1901248429444</v>
      </c>
      <c r="J216" s="914">
        <f>+SUM(C217:C$501)</f>
        <v>448.18094835420993</v>
      </c>
      <c r="K216" s="914">
        <f t="shared" si="18"/>
        <v>1868.3710731971544</v>
      </c>
      <c r="L216" s="914">
        <f>+SUM(D217:D$501)</f>
        <v>174.67255296135082</v>
      </c>
      <c r="M216" s="914">
        <f>+SUM(E217:E$501)</f>
        <v>6604.1910895116498</v>
      </c>
      <c r="N216" s="914">
        <f>+SUM(F217:F$501)</f>
        <v>16.222817714093303</v>
      </c>
      <c r="O216" s="914">
        <f>+SUM(G217:G$501)</f>
        <v>8663.457533384244</v>
      </c>
      <c r="P216" s="11">
        <f t="shared" si="19"/>
        <v>10.81554151327</v>
      </c>
      <c r="Q216" s="913">
        <f t="shared" si="20"/>
        <v>0</v>
      </c>
      <c r="R216" s="11">
        <f t="shared" si="21"/>
        <v>1.6900169761500002E-2</v>
      </c>
      <c r="S216" s="913">
        <f t="shared" si="22"/>
        <v>32</v>
      </c>
    </row>
    <row r="217" spans="1:19" x14ac:dyDescent="0.2">
      <c r="A217" s="11">
        <f t="shared" si="23"/>
        <v>215</v>
      </c>
      <c r="B217" s="11">
        <v>5.3285248256124804</v>
      </c>
      <c r="C217" s="11"/>
      <c r="D217" s="11"/>
      <c r="E217" s="11">
        <v>8.2371836931580003</v>
      </c>
      <c r="F217" s="11"/>
      <c r="G217" s="11">
        <v>13.565708518770482</v>
      </c>
      <c r="H217" s="11"/>
      <c r="I217" s="914">
        <f>+SUM(B218:B$501)</f>
        <v>1414.861600017332</v>
      </c>
      <c r="J217" s="914">
        <f>+SUM(C218:C$501)</f>
        <v>448.18094835420993</v>
      </c>
      <c r="K217" s="914">
        <f t="shared" si="18"/>
        <v>1863.0425483715419</v>
      </c>
      <c r="L217" s="914">
        <f>+SUM(D218:D$501)</f>
        <v>174.67255296135082</v>
      </c>
      <c r="M217" s="914">
        <f>+SUM(E218:E$501)</f>
        <v>6595.9539058184919</v>
      </c>
      <c r="N217" s="914">
        <f>+SUM(F218:F$501)</f>
        <v>16.222817714093303</v>
      </c>
      <c r="O217" s="914">
        <f>+SUM(G218:G$501)</f>
        <v>8649.8918248654718</v>
      </c>
      <c r="P217" s="11">
        <f t="shared" si="19"/>
        <v>8.2371836931580003</v>
      </c>
      <c r="Q217" s="913">
        <f t="shared" si="20"/>
        <v>0</v>
      </c>
      <c r="R217" s="11">
        <f t="shared" si="21"/>
        <v>1.6900169761500002E-2</v>
      </c>
      <c r="S217" s="913">
        <f t="shared" si="22"/>
        <v>31</v>
      </c>
    </row>
    <row r="218" spans="1:19" x14ac:dyDescent="0.2">
      <c r="A218" s="11">
        <f t="shared" si="23"/>
        <v>216</v>
      </c>
      <c r="B218" s="11">
        <v>6.5578472947468471</v>
      </c>
      <c r="C218" s="11"/>
      <c r="D218" s="11"/>
      <c r="E218" s="11">
        <v>6.3641174943684993</v>
      </c>
      <c r="F218" s="11"/>
      <c r="G218" s="11">
        <v>12.921964789115346</v>
      </c>
      <c r="H218" s="11"/>
      <c r="I218" s="914">
        <f>+SUM(B219:B$501)</f>
        <v>1408.3037527225849</v>
      </c>
      <c r="J218" s="914">
        <f>+SUM(C219:C$501)</f>
        <v>448.18094835420993</v>
      </c>
      <c r="K218" s="914">
        <f t="shared" si="18"/>
        <v>1856.4847010767949</v>
      </c>
      <c r="L218" s="914">
        <f>+SUM(D219:D$501)</f>
        <v>174.67255296135082</v>
      </c>
      <c r="M218" s="914">
        <f>+SUM(E219:E$501)</f>
        <v>6589.5897883241223</v>
      </c>
      <c r="N218" s="914">
        <f>+SUM(F219:F$501)</f>
        <v>16.222817714093303</v>
      </c>
      <c r="O218" s="914">
        <f>+SUM(G219:G$501)</f>
        <v>8636.9698600763568</v>
      </c>
      <c r="P218" s="11">
        <f t="shared" si="19"/>
        <v>6.3641174943684993</v>
      </c>
      <c r="Q218" s="913">
        <f t="shared" si="20"/>
        <v>0</v>
      </c>
      <c r="R218" s="11">
        <f t="shared" si="21"/>
        <v>1.6900169761500002E-2</v>
      </c>
      <c r="S218" s="913">
        <f t="shared" si="22"/>
        <v>30</v>
      </c>
    </row>
    <row r="219" spans="1:19" x14ac:dyDescent="0.2">
      <c r="A219" s="11">
        <f t="shared" si="23"/>
        <v>217</v>
      </c>
      <c r="B219" s="11">
        <v>6.5435197537230003</v>
      </c>
      <c r="C219" s="11"/>
      <c r="D219" s="11"/>
      <c r="E219" s="11">
        <v>6.4396852919479999</v>
      </c>
      <c r="F219" s="11"/>
      <c r="G219" s="11">
        <v>12.983205045670999</v>
      </c>
      <c r="H219" s="11"/>
      <c r="I219" s="914">
        <f>+SUM(B220:B$501)</f>
        <v>1401.7602329688621</v>
      </c>
      <c r="J219" s="914">
        <f>+SUM(C220:C$501)</f>
        <v>448.18094835420993</v>
      </c>
      <c r="K219" s="914">
        <f t="shared" si="18"/>
        <v>1849.941181323072</v>
      </c>
      <c r="L219" s="914">
        <f>+SUM(D220:D$501)</f>
        <v>174.67255296135082</v>
      </c>
      <c r="M219" s="914">
        <f>+SUM(E220:E$501)</f>
        <v>6583.1501030321751</v>
      </c>
      <c r="N219" s="914">
        <f>+SUM(F220:F$501)</f>
        <v>16.222817714093303</v>
      </c>
      <c r="O219" s="914">
        <f>+SUM(G220:G$501)</f>
        <v>8623.9866550306851</v>
      </c>
      <c r="P219" s="11">
        <f t="shared" si="19"/>
        <v>6.4396852919479999</v>
      </c>
      <c r="Q219" s="913">
        <f t="shared" si="20"/>
        <v>0</v>
      </c>
      <c r="R219" s="11">
        <f t="shared" si="21"/>
        <v>1.6900169761500002E-2</v>
      </c>
      <c r="S219" s="913">
        <f t="shared" si="22"/>
        <v>29</v>
      </c>
    </row>
    <row r="220" spans="1:19" x14ac:dyDescent="0.2">
      <c r="A220" s="11">
        <f t="shared" si="23"/>
        <v>218</v>
      </c>
      <c r="B220" s="11">
        <v>2.5141531364679999</v>
      </c>
      <c r="C220" s="11"/>
      <c r="D220" s="11"/>
      <c r="E220" s="11">
        <v>11.60556957955</v>
      </c>
      <c r="F220" s="11"/>
      <c r="G220" s="11">
        <v>14.119722716018</v>
      </c>
      <c r="H220" s="11"/>
      <c r="I220" s="914">
        <f>+SUM(B221:B$501)</f>
        <v>1399.2460798323939</v>
      </c>
      <c r="J220" s="914">
        <f>+SUM(C221:C$501)</f>
        <v>448.18094835420993</v>
      </c>
      <c r="K220" s="914">
        <f t="shared" si="18"/>
        <v>1847.4270281866038</v>
      </c>
      <c r="L220" s="914">
        <f>+SUM(D221:D$501)</f>
        <v>174.67255296135082</v>
      </c>
      <c r="M220" s="914">
        <f>+SUM(E221:E$501)</f>
        <v>6571.5445334526239</v>
      </c>
      <c r="N220" s="914">
        <f>+SUM(F221:F$501)</f>
        <v>16.222817714093303</v>
      </c>
      <c r="O220" s="914">
        <f>+SUM(G221:G$501)</f>
        <v>8609.8669323146678</v>
      </c>
      <c r="P220" s="11">
        <f t="shared" si="19"/>
        <v>11.60556957955</v>
      </c>
      <c r="Q220" s="913">
        <f t="shared" si="20"/>
        <v>0</v>
      </c>
      <c r="R220" s="11">
        <f t="shared" si="21"/>
        <v>1.6900169761500002E-2</v>
      </c>
      <c r="S220" s="913">
        <f t="shared" si="22"/>
        <v>28</v>
      </c>
    </row>
    <row r="221" spans="1:19" x14ac:dyDescent="0.2">
      <c r="A221" s="11">
        <f t="shared" si="23"/>
        <v>219</v>
      </c>
      <c r="B221" s="11">
        <v>3.9177586383735394</v>
      </c>
      <c r="C221" s="11"/>
      <c r="D221" s="11"/>
      <c r="E221" s="11">
        <v>12.9476354812887</v>
      </c>
      <c r="F221" s="11"/>
      <c r="G221" s="11">
        <v>16.865394119662238</v>
      </c>
      <c r="H221" s="11"/>
      <c r="I221" s="914">
        <f>+SUM(B222:B$501)</f>
        <v>1395.3283211940204</v>
      </c>
      <c r="J221" s="914">
        <f>+SUM(C222:C$501)</f>
        <v>448.18094835420993</v>
      </c>
      <c r="K221" s="914">
        <f t="shared" si="18"/>
        <v>1843.5092695482303</v>
      </c>
      <c r="L221" s="914">
        <f>+SUM(D222:D$501)</f>
        <v>174.67255296135082</v>
      </c>
      <c r="M221" s="914">
        <f>+SUM(E222:E$501)</f>
        <v>6558.5968979713371</v>
      </c>
      <c r="N221" s="914">
        <f>+SUM(F222:F$501)</f>
        <v>16.222817714093303</v>
      </c>
      <c r="O221" s="914">
        <f>+SUM(G222:G$501)</f>
        <v>8593.0015381950052</v>
      </c>
      <c r="P221" s="11">
        <f t="shared" si="19"/>
        <v>12.9476354812887</v>
      </c>
      <c r="Q221" s="913">
        <f t="shared" si="20"/>
        <v>0</v>
      </c>
      <c r="R221" s="11">
        <f t="shared" si="21"/>
        <v>1.6900169761500002E-2</v>
      </c>
      <c r="S221" s="913">
        <f t="shared" si="22"/>
        <v>27</v>
      </c>
    </row>
    <row r="222" spans="1:19" x14ac:dyDescent="0.2">
      <c r="A222" s="11">
        <f t="shared" si="23"/>
        <v>220</v>
      </c>
      <c r="B222" s="11">
        <v>8.6330922958259997</v>
      </c>
      <c r="C222" s="11"/>
      <c r="D222" s="11">
        <v>7.2602365344700007E-2</v>
      </c>
      <c r="E222" s="11">
        <v>11.6556329417675</v>
      </c>
      <c r="F222" s="11"/>
      <c r="G222" s="11">
        <v>20.3613276029382</v>
      </c>
      <c r="H222" s="11"/>
      <c r="I222" s="914">
        <f>+SUM(B223:B$501)</f>
        <v>1386.6952288981943</v>
      </c>
      <c r="J222" s="914">
        <f>+SUM(C223:C$501)</f>
        <v>448.18094835420993</v>
      </c>
      <c r="K222" s="914">
        <f t="shared" si="18"/>
        <v>1834.8761772524042</v>
      </c>
      <c r="L222" s="914">
        <f>+SUM(D223:D$501)</f>
        <v>174.59995059600612</v>
      </c>
      <c r="M222" s="914">
        <f>+SUM(E223:E$501)</f>
        <v>6546.9412650295681</v>
      </c>
      <c r="N222" s="914">
        <f>+SUM(F223:F$501)</f>
        <v>16.222817714093303</v>
      </c>
      <c r="O222" s="914">
        <f>+SUM(G223:G$501)</f>
        <v>8572.6402105920679</v>
      </c>
      <c r="P222" s="11">
        <f t="shared" si="19"/>
        <v>11.6556329417675</v>
      </c>
      <c r="Q222" s="913">
        <f t="shared" si="20"/>
        <v>0</v>
      </c>
      <c r="R222" s="11">
        <f t="shared" si="21"/>
        <v>1.6900169761500002E-2</v>
      </c>
      <c r="S222" s="913">
        <f t="shared" si="22"/>
        <v>26</v>
      </c>
    </row>
    <row r="223" spans="1:19" x14ac:dyDescent="0.2">
      <c r="A223" s="11">
        <f t="shared" si="23"/>
        <v>221</v>
      </c>
      <c r="B223" s="11">
        <v>12.939819658225641</v>
      </c>
      <c r="C223" s="11"/>
      <c r="D223" s="11">
        <v>0.17308107007099999</v>
      </c>
      <c r="E223" s="11">
        <v>9.0988766963900005</v>
      </c>
      <c r="F223" s="11"/>
      <c r="G223" s="11">
        <v>22.211777424686641</v>
      </c>
      <c r="H223" s="11"/>
      <c r="I223" s="914">
        <f>+SUM(B224:B$501)</f>
        <v>1373.7554092399687</v>
      </c>
      <c r="J223" s="914">
        <f>+SUM(C224:C$501)</f>
        <v>448.18094835420993</v>
      </c>
      <c r="K223" s="914">
        <f t="shared" si="18"/>
        <v>1821.9363575941786</v>
      </c>
      <c r="L223" s="914">
        <f>+SUM(D224:D$501)</f>
        <v>174.4268695259351</v>
      </c>
      <c r="M223" s="914">
        <f>+SUM(E224:E$501)</f>
        <v>6537.8423883331789</v>
      </c>
      <c r="N223" s="914">
        <f>+SUM(F224:F$501)</f>
        <v>16.222817714093303</v>
      </c>
      <c r="O223" s="914">
        <f>+SUM(G224:G$501)</f>
        <v>8550.4284331673807</v>
      </c>
      <c r="P223" s="11">
        <f t="shared" si="19"/>
        <v>9.0988766963900005</v>
      </c>
      <c r="Q223" s="913">
        <f t="shared" si="20"/>
        <v>0</v>
      </c>
      <c r="R223" s="11">
        <f t="shared" si="21"/>
        <v>1.6900169761500002E-2</v>
      </c>
      <c r="S223" s="913">
        <f t="shared" si="22"/>
        <v>25</v>
      </c>
    </row>
    <row r="224" spans="1:19" x14ac:dyDescent="0.2">
      <c r="A224" s="11">
        <f t="shared" si="23"/>
        <v>222</v>
      </c>
      <c r="B224" s="11">
        <v>8.3399656961539002</v>
      </c>
      <c r="C224" s="11"/>
      <c r="D224" s="11"/>
      <c r="E224" s="11">
        <v>16.032960550247999</v>
      </c>
      <c r="F224" s="11"/>
      <c r="G224" s="11">
        <v>24.372926246401899</v>
      </c>
      <c r="H224" s="11"/>
      <c r="I224" s="914">
        <f>+SUM(B225:B$501)</f>
        <v>1365.4154435438149</v>
      </c>
      <c r="J224" s="914">
        <f>+SUM(C225:C$501)</f>
        <v>448.18094835420993</v>
      </c>
      <c r="K224" s="914">
        <f t="shared" si="18"/>
        <v>1813.5963918980249</v>
      </c>
      <c r="L224" s="914">
        <f>+SUM(D225:D$501)</f>
        <v>174.4268695259351</v>
      </c>
      <c r="M224" s="914">
        <f>+SUM(E225:E$501)</f>
        <v>6521.8094277829305</v>
      </c>
      <c r="N224" s="914">
        <f>+SUM(F225:F$501)</f>
        <v>16.222817714093303</v>
      </c>
      <c r="O224" s="914">
        <f>+SUM(G225:G$501)</f>
        <v>8526.0555069209786</v>
      </c>
      <c r="P224" s="11">
        <f t="shared" si="19"/>
        <v>16.032960550247999</v>
      </c>
      <c r="Q224" s="913">
        <f t="shared" si="20"/>
        <v>0</v>
      </c>
      <c r="R224" s="11">
        <f t="shared" si="21"/>
        <v>1.6900169761500002E-2</v>
      </c>
      <c r="S224" s="913">
        <f t="shared" si="22"/>
        <v>24</v>
      </c>
    </row>
    <row r="225" spans="1:19" x14ac:dyDescent="0.2">
      <c r="A225" s="11">
        <f t="shared" si="23"/>
        <v>223</v>
      </c>
      <c r="B225" s="11">
        <v>3.6859823958188995</v>
      </c>
      <c r="C225" s="11"/>
      <c r="D225" s="11"/>
      <c r="E225" s="11">
        <v>23.119521995288999</v>
      </c>
      <c r="F225" s="11"/>
      <c r="G225" s="11">
        <v>26.805504391107899</v>
      </c>
      <c r="H225" s="11"/>
      <c r="I225" s="914">
        <f>+SUM(B226:B$501)</f>
        <v>1361.7294611479961</v>
      </c>
      <c r="J225" s="914">
        <f>+SUM(C226:C$501)</f>
        <v>448.18094835420993</v>
      </c>
      <c r="K225" s="914">
        <f t="shared" si="18"/>
        <v>1809.910409502206</v>
      </c>
      <c r="L225" s="914">
        <f>+SUM(D226:D$501)</f>
        <v>174.4268695259351</v>
      </c>
      <c r="M225" s="914">
        <f>+SUM(E226:E$501)</f>
        <v>6498.6899057876408</v>
      </c>
      <c r="N225" s="914">
        <f>+SUM(F226:F$501)</f>
        <v>16.222817714093303</v>
      </c>
      <c r="O225" s="914">
        <f>+SUM(G226:G$501)</f>
        <v>8499.2500025298705</v>
      </c>
      <c r="P225" s="11">
        <f t="shared" si="19"/>
        <v>23.119521995288999</v>
      </c>
      <c r="Q225" s="913">
        <f t="shared" si="20"/>
        <v>0</v>
      </c>
      <c r="R225" s="11">
        <f t="shared" si="21"/>
        <v>1.6900169761500002E-2</v>
      </c>
      <c r="S225" s="913">
        <f t="shared" si="22"/>
        <v>23</v>
      </c>
    </row>
    <row r="226" spans="1:19" x14ac:dyDescent="0.2">
      <c r="A226" s="11">
        <f t="shared" si="23"/>
        <v>224</v>
      </c>
      <c r="B226" s="11">
        <v>2.9734066991640002</v>
      </c>
      <c r="C226" s="11"/>
      <c r="D226" s="11"/>
      <c r="E226" s="11">
        <v>25.864311185636151</v>
      </c>
      <c r="F226" s="11"/>
      <c r="G226" s="11">
        <v>28.837717884800149</v>
      </c>
      <c r="H226" s="11"/>
      <c r="I226" s="914">
        <f>+SUM(B227:B$501)</f>
        <v>1358.7560544488319</v>
      </c>
      <c r="J226" s="914">
        <f>+SUM(C227:C$501)</f>
        <v>448.18094835420993</v>
      </c>
      <c r="K226" s="914">
        <f t="shared" si="18"/>
        <v>1806.9370028030419</v>
      </c>
      <c r="L226" s="914">
        <f>+SUM(D227:D$501)</f>
        <v>174.4268695259351</v>
      </c>
      <c r="M226" s="914">
        <f>+SUM(E227:E$501)</f>
        <v>6472.8255946020063</v>
      </c>
      <c r="N226" s="914">
        <f>+SUM(F227:F$501)</f>
        <v>16.222817714093303</v>
      </c>
      <c r="O226" s="914">
        <f>+SUM(G227:G$501)</f>
        <v>8470.41228464507</v>
      </c>
      <c r="P226" s="11">
        <f t="shared" si="19"/>
        <v>25.864311185636151</v>
      </c>
      <c r="Q226" s="913">
        <f t="shared" si="20"/>
        <v>0</v>
      </c>
      <c r="R226" s="11">
        <f t="shared" si="21"/>
        <v>1.6900169761500002E-2</v>
      </c>
      <c r="S226" s="913">
        <f t="shared" si="22"/>
        <v>22</v>
      </c>
    </row>
    <row r="227" spans="1:19" x14ac:dyDescent="0.2">
      <c r="A227" s="11">
        <f t="shared" si="23"/>
        <v>225</v>
      </c>
      <c r="B227" s="11">
        <v>2.0573718639849998</v>
      </c>
      <c r="C227" s="11"/>
      <c r="D227" s="11"/>
      <c r="E227" s="11">
        <v>28.375914413751001</v>
      </c>
      <c r="F227" s="11"/>
      <c r="G227" s="11">
        <v>30.433286277736002</v>
      </c>
      <c r="H227" s="11"/>
      <c r="I227" s="914">
        <f>+SUM(B228:B$501)</f>
        <v>1356.6986825848469</v>
      </c>
      <c r="J227" s="914">
        <f>+SUM(C228:C$501)</f>
        <v>448.18094835420993</v>
      </c>
      <c r="K227" s="914">
        <f t="shared" si="18"/>
        <v>1804.8796309390568</v>
      </c>
      <c r="L227" s="914">
        <f>+SUM(D228:D$501)</f>
        <v>174.4268695259351</v>
      </c>
      <c r="M227" s="914">
        <f>+SUM(E228:E$501)</f>
        <v>6444.4496801882551</v>
      </c>
      <c r="N227" s="914">
        <f>+SUM(F228:F$501)</f>
        <v>16.222817714093303</v>
      </c>
      <c r="O227" s="914">
        <f>+SUM(G228:G$501)</f>
        <v>8439.9789983673363</v>
      </c>
      <c r="P227" s="11">
        <f t="shared" si="19"/>
        <v>28.375914413751001</v>
      </c>
      <c r="Q227" s="913">
        <f t="shared" si="20"/>
        <v>0</v>
      </c>
      <c r="R227" s="11">
        <f t="shared" si="21"/>
        <v>1.6900169761500002E-2</v>
      </c>
      <c r="S227" s="913">
        <f t="shared" si="22"/>
        <v>21</v>
      </c>
    </row>
    <row r="228" spans="1:19" x14ac:dyDescent="0.2">
      <c r="A228" s="11">
        <f t="shared" si="23"/>
        <v>226</v>
      </c>
      <c r="B228" s="11">
        <v>2.2613850275649998</v>
      </c>
      <c r="C228" s="11"/>
      <c r="D228" s="11"/>
      <c r="E228" s="11">
        <v>30.04058504212</v>
      </c>
      <c r="F228" s="11"/>
      <c r="G228" s="11">
        <v>32.301970069684998</v>
      </c>
      <c r="H228" s="11"/>
      <c r="I228" s="914">
        <f>+SUM(B229:B$501)</f>
        <v>1354.4372975572819</v>
      </c>
      <c r="J228" s="914">
        <f>+SUM(C229:C$501)</f>
        <v>448.18094835420993</v>
      </c>
      <c r="K228" s="914">
        <f t="shared" si="18"/>
        <v>1802.6182459114918</v>
      </c>
      <c r="L228" s="914">
        <f>+SUM(D229:D$501)</f>
        <v>174.4268695259351</v>
      </c>
      <c r="M228" s="914">
        <f>+SUM(E229:E$501)</f>
        <v>6414.409095146134</v>
      </c>
      <c r="N228" s="914">
        <f>+SUM(F229:F$501)</f>
        <v>16.222817714093303</v>
      </c>
      <c r="O228" s="914">
        <f>+SUM(G229:G$501)</f>
        <v>8407.6770282976522</v>
      </c>
      <c r="P228" s="11">
        <f t="shared" si="19"/>
        <v>30.04058504212</v>
      </c>
      <c r="Q228" s="913">
        <f t="shared" si="20"/>
        <v>0</v>
      </c>
      <c r="R228" s="11">
        <f t="shared" si="21"/>
        <v>1.6900169761500002E-2</v>
      </c>
      <c r="S228" s="913">
        <f t="shared" si="22"/>
        <v>20</v>
      </c>
    </row>
    <row r="229" spans="1:19" x14ac:dyDescent="0.2">
      <c r="A229" s="11">
        <f t="shared" si="23"/>
        <v>227</v>
      </c>
      <c r="B229" s="11">
        <v>3.2194071301429998</v>
      </c>
      <c r="C229" s="11"/>
      <c r="D229" s="11"/>
      <c r="E229" s="11">
        <v>31.410562179926</v>
      </c>
      <c r="F229" s="11"/>
      <c r="G229" s="11">
        <v>34.629969310069001</v>
      </c>
      <c r="H229" s="11"/>
      <c r="I229" s="914">
        <f>+SUM(B230:B$501)</f>
        <v>1351.2178904271389</v>
      </c>
      <c r="J229" s="914">
        <f>+SUM(C230:C$501)</f>
        <v>448.18094835420993</v>
      </c>
      <c r="K229" s="914">
        <f t="shared" si="18"/>
        <v>1799.3988387813488</v>
      </c>
      <c r="L229" s="914">
        <f>+SUM(D230:D$501)</f>
        <v>174.4268695259351</v>
      </c>
      <c r="M229" s="914">
        <f>+SUM(E230:E$501)</f>
        <v>6382.9985329662095</v>
      </c>
      <c r="N229" s="914">
        <f>+SUM(F230:F$501)</f>
        <v>16.222817714093303</v>
      </c>
      <c r="O229" s="914">
        <f>+SUM(G230:G$501)</f>
        <v>8373.0470589875804</v>
      </c>
      <c r="P229" s="11">
        <f t="shared" si="19"/>
        <v>31.410562179926</v>
      </c>
      <c r="Q229" s="913">
        <f t="shared" si="20"/>
        <v>0</v>
      </c>
      <c r="R229" s="11">
        <f t="shared" si="21"/>
        <v>1.6900169761500002E-2</v>
      </c>
      <c r="S229" s="913">
        <f t="shared" si="22"/>
        <v>19</v>
      </c>
    </row>
    <row r="230" spans="1:19" x14ac:dyDescent="0.2">
      <c r="A230" s="11">
        <f t="shared" si="23"/>
        <v>228</v>
      </c>
      <c r="B230" s="11">
        <v>3.9798085442721201</v>
      </c>
      <c r="C230" s="11"/>
      <c r="D230" s="11"/>
      <c r="E230" s="11">
        <v>31.31775976486</v>
      </c>
      <c r="F230" s="11"/>
      <c r="G230" s="11">
        <v>35.297568309132117</v>
      </c>
      <c r="H230" s="11"/>
      <c r="I230" s="914">
        <f>+SUM(B231:B$501)</f>
        <v>1347.2380818828667</v>
      </c>
      <c r="J230" s="914">
        <f>+SUM(C231:C$501)</f>
        <v>448.18094835420993</v>
      </c>
      <c r="K230" s="914">
        <f t="shared" si="18"/>
        <v>1795.4190302370766</v>
      </c>
      <c r="L230" s="914">
        <f>+SUM(D231:D$501)</f>
        <v>174.4268695259351</v>
      </c>
      <c r="M230" s="914">
        <f>+SUM(E231:E$501)</f>
        <v>6351.6807732013485</v>
      </c>
      <c r="N230" s="914">
        <f>+SUM(F231:F$501)</f>
        <v>16.222817714093303</v>
      </c>
      <c r="O230" s="914">
        <f>+SUM(G231:G$501)</f>
        <v>8337.7494906784486</v>
      </c>
      <c r="P230" s="11">
        <f t="shared" si="19"/>
        <v>31.31775976486</v>
      </c>
      <c r="Q230" s="913">
        <f t="shared" si="20"/>
        <v>0</v>
      </c>
      <c r="R230" s="11">
        <f t="shared" si="21"/>
        <v>1.6900169761500002E-2</v>
      </c>
      <c r="S230" s="913">
        <f t="shared" si="22"/>
        <v>18</v>
      </c>
    </row>
    <row r="231" spans="1:19" x14ac:dyDescent="0.2">
      <c r="A231" s="11">
        <f t="shared" si="23"/>
        <v>229</v>
      </c>
      <c r="B231" s="11">
        <v>4.331708980458</v>
      </c>
      <c r="C231" s="11"/>
      <c r="D231" s="11"/>
      <c r="E231" s="11">
        <v>30.691129732169998</v>
      </c>
      <c r="F231" s="11"/>
      <c r="G231" s="11">
        <v>35.022838712628001</v>
      </c>
      <c r="H231" s="11"/>
      <c r="I231" s="914">
        <f>+SUM(B232:B$501)</f>
        <v>1342.906372902409</v>
      </c>
      <c r="J231" s="914">
        <f>+SUM(C232:C$501)</f>
        <v>448.18094835420993</v>
      </c>
      <c r="K231" s="914">
        <f t="shared" si="18"/>
        <v>1791.0873212566189</v>
      </c>
      <c r="L231" s="914">
        <f>+SUM(D232:D$501)</f>
        <v>174.4268695259351</v>
      </c>
      <c r="M231" s="914">
        <f>+SUM(E232:E$501)</f>
        <v>6320.9896434691791</v>
      </c>
      <c r="N231" s="914">
        <f>+SUM(F232:F$501)</f>
        <v>16.222817714093303</v>
      </c>
      <c r="O231" s="914">
        <f>+SUM(G232:G$501)</f>
        <v>8302.7266519658206</v>
      </c>
      <c r="P231" s="11">
        <f t="shared" si="19"/>
        <v>30.691129732169998</v>
      </c>
      <c r="Q231" s="913">
        <f t="shared" si="20"/>
        <v>0</v>
      </c>
      <c r="R231" s="11">
        <f t="shared" si="21"/>
        <v>1.6900169761500002E-2</v>
      </c>
      <c r="S231" s="913">
        <f t="shared" si="22"/>
        <v>17</v>
      </c>
    </row>
    <row r="232" spans="1:19" x14ac:dyDescent="0.2">
      <c r="A232" s="11">
        <f t="shared" si="23"/>
        <v>230</v>
      </c>
      <c r="B232" s="11">
        <v>6.4019148707450002</v>
      </c>
      <c r="C232" s="11"/>
      <c r="D232" s="11"/>
      <c r="E232" s="11">
        <v>27.147412691759001</v>
      </c>
      <c r="F232" s="11"/>
      <c r="G232" s="11">
        <v>33.549327562504004</v>
      </c>
      <c r="H232" s="11"/>
      <c r="I232" s="914">
        <f>+SUM(B233:B$501)</f>
        <v>1336.5044580316639</v>
      </c>
      <c r="J232" s="914">
        <f>+SUM(C233:C$501)</f>
        <v>448.18094835420993</v>
      </c>
      <c r="K232" s="914">
        <f t="shared" si="18"/>
        <v>1784.6854063858739</v>
      </c>
      <c r="L232" s="914">
        <f>+SUM(D233:D$501)</f>
        <v>174.4268695259351</v>
      </c>
      <c r="M232" s="914">
        <f>+SUM(E233:E$501)</f>
        <v>6293.8422307774208</v>
      </c>
      <c r="N232" s="914">
        <f>+SUM(F233:F$501)</f>
        <v>16.222817714093303</v>
      </c>
      <c r="O232" s="914">
        <f>+SUM(G233:G$501)</f>
        <v>8269.1773244033157</v>
      </c>
      <c r="P232" s="11">
        <f t="shared" si="19"/>
        <v>27.147412691759001</v>
      </c>
      <c r="Q232" s="913">
        <f t="shared" si="20"/>
        <v>0</v>
      </c>
      <c r="R232" s="11">
        <f t="shared" si="21"/>
        <v>1.6900169761500002E-2</v>
      </c>
      <c r="S232" s="913">
        <f t="shared" si="22"/>
        <v>16</v>
      </c>
    </row>
    <row r="233" spans="1:19" x14ac:dyDescent="0.2">
      <c r="A233" s="11">
        <f t="shared" si="23"/>
        <v>231</v>
      </c>
      <c r="B233" s="11">
        <v>4.900761043847</v>
      </c>
      <c r="C233" s="11"/>
      <c r="D233" s="11"/>
      <c r="E233" s="11">
        <v>27.352481811577</v>
      </c>
      <c r="F233" s="11"/>
      <c r="G233" s="11">
        <v>32.253242855423998</v>
      </c>
      <c r="H233" s="11"/>
      <c r="I233" s="914">
        <f>+SUM(B234:B$501)</f>
        <v>1331.6036969878169</v>
      </c>
      <c r="J233" s="914">
        <f>+SUM(C234:C$501)</f>
        <v>448.18094835420993</v>
      </c>
      <c r="K233" s="914">
        <f t="shared" si="18"/>
        <v>1779.7846453420268</v>
      </c>
      <c r="L233" s="914">
        <f>+SUM(D234:D$501)</f>
        <v>174.4268695259351</v>
      </c>
      <c r="M233" s="914">
        <f>+SUM(E234:E$501)</f>
        <v>6266.4897489658442</v>
      </c>
      <c r="N233" s="914">
        <f>+SUM(F234:F$501)</f>
        <v>16.222817714093303</v>
      </c>
      <c r="O233" s="914">
        <f>+SUM(G234:G$501)</f>
        <v>8236.9240815478915</v>
      </c>
      <c r="P233" s="11">
        <f t="shared" si="19"/>
        <v>27.352481811577</v>
      </c>
      <c r="Q233" s="913">
        <f t="shared" si="20"/>
        <v>0</v>
      </c>
      <c r="R233" s="11">
        <f t="shared" si="21"/>
        <v>1.6900169761500002E-2</v>
      </c>
      <c r="S233" s="913">
        <f t="shared" si="22"/>
        <v>15</v>
      </c>
    </row>
    <row r="234" spans="1:19" x14ac:dyDescent="0.2">
      <c r="A234" s="11">
        <f t="shared" si="23"/>
        <v>232</v>
      </c>
      <c r="B234" s="11">
        <v>4.8345719346600005</v>
      </c>
      <c r="C234" s="11"/>
      <c r="D234" s="11"/>
      <c r="E234" s="11">
        <v>26.554006624499998</v>
      </c>
      <c r="F234" s="11"/>
      <c r="G234" s="11">
        <v>31.388578559159999</v>
      </c>
      <c r="H234" s="11"/>
      <c r="I234" s="914">
        <f>+SUM(B235:B$501)</f>
        <v>1326.7691250531568</v>
      </c>
      <c r="J234" s="914">
        <f>+SUM(C235:C$501)</f>
        <v>448.18094835420993</v>
      </c>
      <c r="K234" s="914">
        <f t="shared" si="18"/>
        <v>1774.9500734073667</v>
      </c>
      <c r="L234" s="914">
        <f>+SUM(D235:D$501)</f>
        <v>174.4268695259351</v>
      </c>
      <c r="M234" s="914">
        <f>+SUM(E235:E$501)</f>
        <v>6239.935742341343</v>
      </c>
      <c r="N234" s="914">
        <f>+SUM(F235:F$501)</f>
        <v>16.222817714093303</v>
      </c>
      <c r="O234" s="914">
        <f>+SUM(G235:G$501)</f>
        <v>8205.5355029887305</v>
      </c>
      <c r="P234" s="11">
        <f t="shared" si="19"/>
        <v>26.554006624499998</v>
      </c>
      <c r="Q234" s="913">
        <f t="shared" si="20"/>
        <v>0</v>
      </c>
      <c r="R234" s="11">
        <f t="shared" si="21"/>
        <v>1.6900169761500002E-2</v>
      </c>
      <c r="S234" s="913">
        <f t="shared" si="22"/>
        <v>14</v>
      </c>
    </row>
    <row r="235" spans="1:19" x14ac:dyDescent="0.2">
      <c r="A235" s="11">
        <f t="shared" si="23"/>
        <v>233</v>
      </c>
      <c r="B235" s="11">
        <v>3.6518576720319849</v>
      </c>
      <c r="C235" s="11"/>
      <c r="D235" s="11"/>
      <c r="E235" s="11">
        <v>20.910109106970001</v>
      </c>
      <c r="F235" s="11"/>
      <c r="G235" s="11">
        <v>24.561966779001985</v>
      </c>
      <c r="H235" s="11"/>
      <c r="I235" s="914">
        <f>+SUM(B236:B$501)</f>
        <v>1323.1172673811247</v>
      </c>
      <c r="J235" s="914">
        <f>+SUM(C236:C$501)</f>
        <v>448.18094835420993</v>
      </c>
      <c r="K235" s="914">
        <f t="shared" si="18"/>
        <v>1771.2982157353347</v>
      </c>
      <c r="L235" s="914">
        <f>+SUM(D236:D$501)</f>
        <v>174.4268695259351</v>
      </c>
      <c r="M235" s="914">
        <f>+SUM(E236:E$501)</f>
        <v>6219.0256332343733</v>
      </c>
      <c r="N235" s="914">
        <f>+SUM(F236:F$501)</f>
        <v>16.222817714093303</v>
      </c>
      <c r="O235" s="914">
        <f>+SUM(G236:G$501)</f>
        <v>8180.9735362097299</v>
      </c>
      <c r="P235" s="11">
        <f t="shared" si="19"/>
        <v>20.910109106970001</v>
      </c>
      <c r="Q235" s="913">
        <f t="shared" si="20"/>
        <v>0</v>
      </c>
      <c r="R235" s="11">
        <f t="shared" si="21"/>
        <v>1.6900169761500002E-2</v>
      </c>
      <c r="S235" s="913">
        <f t="shared" si="22"/>
        <v>13</v>
      </c>
    </row>
    <row r="236" spans="1:19" x14ac:dyDescent="0.2">
      <c r="A236" s="11">
        <f t="shared" si="23"/>
        <v>234</v>
      </c>
      <c r="B236" s="11">
        <v>2.9134405387138504</v>
      </c>
      <c r="C236" s="11"/>
      <c r="D236" s="11"/>
      <c r="E236" s="11">
        <v>17.27117119499</v>
      </c>
      <c r="F236" s="11"/>
      <c r="G236" s="11">
        <v>20.18461173370385</v>
      </c>
      <c r="H236" s="11"/>
      <c r="I236" s="914">
        <f>+SUM(B237:B$501)</f>
        <v>1320.203826842411</v>
      </c>
      <c r="J236" s="914">
        <f>+SUM(C237:C$501)</f>
        <v>448.18094835420993</v>
      </c>
      <c r="K236" s="914">
        <f t="shared" si="18"/>
        <v>1768.3847751966209</v>
      </c>
      <c r="L236" s="914">
        <f>+SUM(D237:D$501)</f>
        <v>174.4268695259351</v>
      </c>
      <c r="M236" s="914">
        <f>+SUM(E237:E$501)</f>
        <v>6201.7544620393828</v>
      </c>
      <c r="N236" s="914">
        <f>+SUM(F237:F$501)</f>
        <v>16.222817714093303</v>
      </c>
      <c r="O236" s="914">
        <f>+SUM(G237:G$501)</f>
        <v>8160.7889244760254</v>
      </c>
      <c r="P236" s="11">
        <f t="shared" si="19"/>
        <v>17.27117119499</v>
      </c>
      <c r="Q236" s="913">
        <f t="shared" si="20"/>
        <v>0</v>
      </c>
      <c r="R236" s="11">
        <f t="shared" si="21"/>
        <v>1.6900169761500002E-2</v>
      </c>
      <c r="S236" s="913">
        <f t="shared" si="22"/>
        <v>12</v>
      </c>
    </row>
    <row r="237" spans="1:19" x14ac:dyDescent="0.2">
      <c r="A237" s="11">
        <f t="shared" si="23"/>
        <v>235</v>
      </c>
      <c r="B237" s="11">
        <v>5.7733960312403987</v>
      </c>
      <c r="C237" s="11"/>
      <c r="D237" s="11"/>
      <c r="E237" s="11">
        <v>13.195654788500001</v>
      </c>
      <c r="F237" s="11"/>
      <c r="G237" s="11">
        <v>18.969050819740399</v>
      </c>
      <c r="H237" s="11"/>
      <c r="I237" s="914">
        <f>+SUM(B238:B$501)</f>
        <v>1314.4304308111707</v>
      </c>
      <c r="J237" s="914">
        <f>+SUM(C238:C$501)</f>
        <v>448.18094835420993</v>
      </c>
      <c r="K237" s="914">
        <f t="shared" si="18"/>
        <v>1762.6113791653806</v>
      </c>
      <c r="L237" s="914">
        <f>+SUM(D238:D$501)</f>
        <v>174.4268695259351</v>
      </c>
      <c r="M237" s="914">
        <f>+SUM(E238:E$501)</f>
        <v>6188.5588072508826</v>
      </c>
      <c r="N237" s="914">
        <f>+SUM(F238:F$501)</f>
        <v>16.222817714093303</v>
      </c>
      <c r="O237" s="914">
        <f>+SUM(G238:G$501)</f>
        <v>8141.8198736562854</v>
      </c>
      <c r="P237" s="11">
        <f t="shared" si="19"/>
        <v>13.195654788500001</v>
      </c>
      <c r="Q237" s="913">
        <f t="shared" si="20"/>
        <v>0</v>
      </c>
      <c r="R237" s="11">
        <f t="shared" si="21"/>
        <v>1.6900169761500002E-2</v>
      </c>
      <c r="S237" s="913">
        <f t="shared" si="22"/>
        <v>11</v>
      </c>
    </row>
    <row r="238" spans="1:19" x14ac:dyDescent="0.2">
      <c r="A238" s="11">
        <f t="shared" si="23"/>
        <v>236</v>
      </c>
      <c r="B238" s="11">
        <v>4.8512394426760004</v>
      </c>
      <c r="C238" s="11"/>
      <c r="D238" s="11"/>
      <c r="E238" s="11">
        <v>13.248997483970001</v>
      </c>
      <c r="F238" s="11"/>
      <c r="G238" s="11">
        <v>18.100236926646001</v>
      </c>
      <c r="H238" s="11"/>
      <c r="I238" s="914">
        <f>+SUM(B239:B$501)</f>
        <v>1309.5791913684945</v>
      </c>
      <c r="J238" s="914">
        <f>+SUM(C239:C$501)</f>
        <v>448.18094835420993</v>
      </c>
      <c r="K238" s="914">
        <f t="shared" si="18"/>
        <v>1757.7601397227045</v>
      </c>
      <c r="L238" s="914">
        <f>+SUM(D239:D$501)</f>
        <v>174.4268695259351</v>
      </c>
      <c r="M238" s="914">
        <f>+SUM(E239:E$501)</f>
        <v>6175.3098097669126</v>
      </c>
      <c r="N238" s="914">
        <f>+SUM(F239:F$501)</f>
        <v>16.222817714093303</v>
      </c>
      <c r="O238" s="914">
        <f>+SUM(G239:G$501)</f>
        <v>8123.719636729641</v>
      </c>
      <c r="P238" s="11">
        <f t="shared" si="19"/>
        <v>13.248997483970001</v>
      </c>
      <c r="Q238" s="913">
        <f t="shared" si="20"/>
        <v>0</v>
      </c>
      <c r="R238" s="11">
        <f t="shared" si="21"/>
        <v>1.6900169761500002E-2</v>
      </c>
      <c r="S238" s="913">
        <f t="shared" si="22"/>
        <v>10</v>
      </c>
    </row>
    <row r="239" spans="1:19" x14ac:dyDescent="0.2">
      <c r="A239" s="11">
        <f t="shared" si="23"/>
        <v>237</v>
      </c>
      <c r="B239" s="11">
        <v>3.5935790543941146</v>
      </c>
      <c r="C239" s="11"/>
      <c r="D239" s="11"/>
      <c r="E239" s="11">
        <v>14.290978774081999</v>
      </c>
      <c r="F239" s="11"/>
      <c r="G239" s="11">
        <v>17.884557828476115</v>
      </c>
      <c r="H239" s="11"/>
      <c r="I239" s="914">
        <f>+SUM(B240:B$501)</f>
        <v>1305.9856123141005</v>
      </c>
      <c r="J239" s="914">
        <f>+SUM(C240:C$501)</f>
        <v>448.18094835420993</v>
      </c>
      <c r="K239" s="914">
        <f t="shared" si="18"/>
        <v>1754.1665606683105</v>
      </c>
      <c r="L239" s="914">
        <f>+SUM(D240:D$501)</f>
        <v>174.4268695259351</v>
      </c>
      <c r="M239" s="914">
        <f>+SUM(E240:E$501)</f>
        <v>6161.0188309928299</v>
      </c>
      <c r="N239" s="914">
        <f>+SUM(F240:F$501)</f>
        <v>16.222817714093303</v>
      </c>
      <c r="O239" s="914">
        <f>+SUM(G240:G$501)</f>
        <v>8105.8350789011647</v>
      </c>
      <c r="P239" s="11">
        <f t="shared" si="19"/>
        <v>14.290978774081999</v>
      </c>
      <c r="Q239" s="913">
        <f t="shared" si="20"/>
        <v>0</v>
      </c>
      <c r="R239" s="11">
        <f t="shared" si="21"/>
        <v>1.6900169761500002E-2</v>
      </c>
      <c r="S239" s="913">
        <f t="shared" si="22"/>
        <v>9</v>
      </c>
    </row>
    <row r="240" spans="1:19" x14ac:dyDescent="0.2">
      <c r="A240" s="11">
        <f t="shared" si="23"/>
        <v>238</v>
      </c>
      <c r="B240" s="11">
        <v>2.7883120444777698</v>
      </c>
      <c r="C240" s="11"/>
      <c r="D240" s="11"/>
      <c r="E240" s="11">
        <v>14.213917293872001</v>
      </c>
      <c r="F240" s="11"/>
      <c r="G240" s="11">
        <v>17.002229338349771</v>
      </c>
      <c r="H240" s="11"/>
      <c r="I240" s="914">
        <f>+SUM(B241:B$501)</f>
        <v>1303.1973002696227</v>
      </c>
      <c r="J240" s="914">
        <f>+SUM(C241:C$501)</f>
        <v>448.18094835420993</v>
      </c>
      <c r="K240" s="914">
        <f t="shared" si="18"/>
        <v>1751.3782486238326</v>
      </c>
      <c r="L240" s="914">
        <f>+SUM(D241:D$501)</f>
        <v>174.4268695259351</v>
      </c>
      <c r="M240" s="914">
        <f>+SUM(E241:E$501)</f>
        <v>6146.8049136989584</v>
      </c>
      <c r="N240" s="914">
        <f>+SUM(F241:F$501)</f>
        <v>16.222817714093303</v>
      </c>
      <c r="O240" s="914">
        <f>+SUM(G241:G$501)</f>
        <v>8088.8328495628148</v>
      </c>
      <c r="P240" s="11">
        <f t="shared" si="19"/>
        <v>14.213917293872001</v>
      </c>
      <c r="Q240" s="913">
        <f t="shared" si="20"/>
        <v>0</v>
      </c>
      <c r="R240" s="11">
        <f t="shared" si="21"/>
        <v>1.6900169761500002E-2</v>
      </c>
      <c r="S240" s="913">
        <f t="shared" si="22"/>
        <v>8</v>
      </c>
    </row>
    <row r="241" spans="1:19" x14ac:dyDescent="0.2">
      <c r="A241" s="11">
        <f t="shared" si="23"/>
        <v>239</v>
      </c>
      <c r="B241" s="11">
        <v>4.2137128564187005</v>
      </c>
      <c r="C241" s="11"/>
      <c r="D241" s="11"/>
      <c r="E241" s="11">
        <v>12.533833895887</v>
      </c>
      <c r="F241" s="11"/>
      <c r="G241" s="11">
        <v>16.747546752305702</v>
      </c>
      <c r="H241" s="11"/>
      <c r="I241" s="914">
        <f>+SUM(B242:B$501)</f>
        <v>1298.9835874132041</v>
      </c>
      <c r="J241" s="914">
        <f>+SUM(C242:C$501)</f>
        <v>448.18094835420993</v>
      </c>
      <c r="K241" s="914">
        <f t="shared" si="18"/>
        <v>1747.164535767414</v>
      </c>
      <c r="L241" s="914">
        <f>+SUM(D242:D$501)</f>
        <v>174.4268695259351</v>
      </c>
      <c r="M241" s="914">
        <f>+SUM(E242:E$501)</f>
        <v>6134.2710798030721</v>
      </c>
      <c r="N241" s="914">
        <f>+SUM(F242:F$501)</f>
        <v>16.222817714093303</v>
      </c>
      <c r="O241" s="914">
        <f>+SUM(G242:G$501)</f>
        <v>8072.0853028105075</v>
      </c>
      <c r="P241" s="11">
        <f t="shared" si="19"/>
        <v>12.533833895887</v>
      </c>
      <c r="Q241" s="913">
        <f t="shared" si="20"/>
        <v>0</v>
      </c>
      <c r="R241" s="11">
        <f t="shared" si="21"/>
        <v>1.6900169761500002E-2</v>
      </c>
      <c r="S241" s="913">
        <f t="shared" si="22"/>
        <v>7</v>
      </c>
    </row>
    <row r="242" spans="1:19" x14ac:dyDescent="0.2">
      <c r="A242" s="11">
        <f t="shared" si="23"/>
        <v>240</v>
      </c>
      <c r="B242" s="11">
        <v>3.9037004135840006</v>
      </c>
      <c r="C242" s="11"/>
      <c r="D242" s="11"/>
      <c r="E242" s="11">
        <v>12.8262930271</v>
      </c>
      <c r="F242" s="11"/>
      <c r="G242" s="11">
        <v>16.729993440684002</v>
      </c>
      <c r="H242" s="11"/>
      <c r="I242" s="914">
        <f>+SUM(B243:B$501)</f>
        <v>1295.0798869996202</v>
      </c>
      <c r="J242" s="914">
        <f>+SUM(C243:C$501)</f>
        <v>448.18094835420993</v>
      </c>
      <c r="K242" s="914">
        <f t="shared" si="18"/>
        <v>1743.2608353538301</v>
      </c>
      <c r="L242" s="914">
        <f>+SUM(D243:D$501)</f>
        <v>174.4268695259351</v>
      </c>
      <c r="M242" s="914">
        <f>+SUM(E243:E$501)</f>
        <v>6121.4447867759709</v>
      </c>
      <c r="N242" s="914">
        <f>+SUM(F243:F$501)</f>
        <v>16.222817714093303</v>
      </c>
      <c r="O242" s="914">
        <f>+SUM(G243:G$501)</f>
        <v>8055.3553093698238</v>
      </c>
      <c r="P242" s="11">
        <f t="shared" si="19"/>
        <v>12.8262930271</v>
      </c>
      <c r="Q242" s="913">
        <f t="shared" si="20"/>
        <v>0</v>
      </c>
      <c r="R242" s="11">
        <f t="shared" si="21"/>
        <v>1.6900169761500002E-2</v>
      </c>
      <c r="S242" s="913">
        <f t="shared" si="22"/>
        <v>6</v>
      </c>
    </row>
    <row r="243" spans="1:19" x14ac:dyDescent="0.2">
      <c r="A243" s="11">
        <f t="shared" si="23"/>
        <v>241</v>
      </c>
      <c r="B243" s="11">
        <v>2.3458814772791001</v>
      </c>
      <c r="C243" s="11"/>
      <c r="D243" s="11"/>
      <c r="E243" s="11">
        <v>13.874279907891001</v>
      </c>
      <c r="F243" s="11"/>
      <c r="G243" s="11">
        <v>16.220161385170101</v>
      </c>
      <c r="H243" s="11"/>
      <c r="I243" s="914">
        <f>+SUM(B244:B$501)</f>
        <v>1292.734005522341</v>
      </c>
      <c r="J243" s="914">
        <f>+SUM(C244:C$501)</f>
        <v>448.18094835420993</v>
      </c>
      <c r="K243" s="914">
        <f t="shared" si="18"/>
        <v>1740.914953876551</v>
      </c>
      <c r="L243" s="914">
        <f>+SUM(D244:D$501)</f>
        <v>174.4268695259351</v>
      </c>
      <c r="M243" s="914">
        <f>+SUM(E244:E$501)</f>
        <v>6107.5705068680809</v>
      </c>
      <c r="N243" s="914">
        <f>+SUM(F244:F$501)</f>
        <v>16.222817714093303</v>
      </c>
      <c r="O243" s="914">
        <f>+SUM(G244:G$501)</f>
        <v>8039.1351479846535</v>
      </c>
      <c r="P243" s="11">
        <f t="shared" si="19"/>
        <v>13.874279907891001</v>
      </c>
      <c r="Q243" s="913">
        <f t="shared" si="20"/>
        <v>0</v>
      </c>
      <c r="R243" s="11">
        <f t="shared" si="21"/>
        <v>1.6900169761500002E-2</v>
      </c>
      <c r="S243" s="913">
        <f t="shared" si="22"/>
        <v>5</v>
      </c>
    </row>
    <row r="244" spans="1:19" x14ac:dyDescent="0.2">
      <c r="A244" s="11">
        <f t="shared" si="23"/>
        <v>242</v>
      </c>
      <c r="B244" s="11">
        <v>3.9799334051305602</v>
      </c>
      <c r="C244" s="11"/>
      <c r="D244" s="11"/>
      <c r="E244" s="11">
        <v>11.612485094389999</v>
      </c>
      <c r="F244" s="11"/>
      <c r="G244" s="11">
        <v>15.592418499520559</v>
      </c>
      <c r="H244" s="11"/>
      <c r="I244" s="914">
        <f>+SUM(B245:B$501)</f>
        <v>1288.7540721172102</v>
      </c>
      <c r="J244" s="914">
        <f>+SUM(C245:C$501)</f>
        <v>448.18094835420993</v>
      </c>
      <c r="K244" s="914">
        <f t="shared" si="18"/>
        <v>1736.9350204714201</v>
      </c>
      <c r="L244" s="914">
        <f>+SUM(D245:D$501)</f>
        <v>174.4268695259351</v>
      </c>
      <c r="M244" s="914">
        <f>+SUM(E245:E$501)</f>
        <v>6095.9580217736902</v>
      </c>
      <c r="N244" s="914">
        <f>+SUM(F245:F$501)</f>
        <v>16.222817714093303</v>
      </c>
      <c r="O244" s="914">
        <f>+SUM(G245:G$501)</f>
        <v>8023.5427294851333</v>
      </c>
      <c r="P244" s="11">
        <f t="shared" si="19"/>
        <v>11.612485094389999</v>
      </c>
      <c r="Q244" s="913">
        <f t="shared" si="20"/>
        <v>0</v>
      </c>
      <c r="R244" s="11">
        <f t="shared" si="21"/>
        <v>1.6900169761500002E-2</v>
      </c>
      <c r="S244" s="913">
        <f t="shared" si="22"/>
        <v>4</v>
      </c>
    </row>
    <row r="245" spans="1:19" x14ac:dyDescent="0.2">
      <c r="A245" s="11">
        <f t="shared" si="23"/>
        <v>243</v>
      </c>
      <c r="B245" s="11">
        <v>6.5447898273113001</v>
      </c>
      <c r="C245" s="11">
        <v>0.23334257914000001</v>
      </c>
      <c r="D245" s="11"/>
      <c r="E245" s="11">
        <v>8.8681633551850698</v>
      </c>
      <c r="F245" s="11"/>
      <c r="G245" s="11">
        <v>15.64629576163637</v>
      </c>
      <c r="H245" s="11"/>
      <c r="I245" s="914">
        <f>+SUM(B246:B$501)</f>
        <v>1282.209282289899</v>
      </c>
      <c r="J245" s="914">
        <f>+SUM(C246:C$501)</f>
        <v>447.94760577506986</v>
      </c>
      <c r="K245" s="914">
        <f t="shared" si="18"/>
        <v>1730.1568880649688</v>
      </c>
      <c r="L245" s="914">
        <f>+SUM(D246:D$501)</f>
        <v>174.4268695259351</v>
      </c>
      <c r="M245" s="914">
        <f>+SUM(E246:E$501)</f>
        <v>6087.0898584185061</v>
      </c>
      <c r="N245" s="914">
        <f>+SUM(F246:F$501)</f>
        <v>16.222817714093303</v>
      </c>
      <c r="O245" s="914">
        <f>+SUM(G246:G$501)</f>
        <v>8007.8964337234966</v>
      </c>
      <c r="P245" s="11">
        <f t="shared" si="19"/>
        <v>8.8681633551850698</v>
      </c>
      <c r="Q245" s="913">
        <f t="shared" si="20"/>
        <v>0</v>
      </c>
      <c r="R245" s="11">
        <f t="shared" si="21"/>
        <v>1.6900169761500002E-2</v>
      </c>
      <c r="S245" s="913">
        <f t="shared" si="22"/>
        <v>3</v>
      </c>
    </row>
    <row r="246" spans="1:19" x14ac:dyDescent="0.2">
      <c r="A246" s="11">
        <f t="shared" si="23"/>
        <v>244</v>
      </c>
      <c r="B246" s="11">
        <v>7.5081625224639987</v>
      </c>
      <c r="C246" s="11">
        <v>0.995316714125</v>
      </c>
      <c r="D246" s="11"/>
      <c r="E246" s="11">
        <v>7.4121099580200003</v>
      </c>
      <c r="F246" s="11"/>
      <c r="G246" s="11">
        <v>15.915589194609</v>
      </c>
      <c r="H246" s="11"/>
      <c r="I246" s="914">
        <f>+SUM(B247:B$501)</f>
        <v>1274.7011197674349</v>
      </c>
      <c r="J246" s="914">
        <f>+SUM(C247:C$501)</f>
        <v>446.95228906094496</v>
      </c>
      <c r="K246" s="914">
        <f t="shared" si="18"/>
        <v>1721.6534088283797</v>
      </c>
      <c r="L246" s="914">
        <f>+SUM(D247:D$501)</f>
        <v>174.4268695259351</v>
      </c>
      <c r="M246" s="914">
        <f>+SUM(E247:E$501)</f>
        <v>6079.6777484604854</v>
      </c>
      <c r="N246" s="914">
        <f>+SUM(F247:F$501)</f>
        <v>16.222817714093303</v>
      </c>
      <c r="O246" s="914">
        <f>+SUM(G247:G$501)</f>
        <v>7991.9808445288882</v>
      </c>
      <c r="P246" s="11">
        <f t="shared" si="19"/>
        <v>7.4121099580200003</v>
      </c>
      <c r="Q246" s="913">
        <f t="shared" si="20"/>
        <v>0</v>
      </c>
      <c r="R246" s="11">
        <f t="shared" si="21"/>
        <v>1.6900169761500002E-2</v>
      </c>
      <c r="S246" s="913">
        <f t="shared" si="22"/>
        <v>2</v>
      </c>
    </row>
    <row r="247" spans="1:19" x14ac:dyDescent="0.2">
      <c r="A247" s="11">
        <f t="shared" si="23"/>
        <v>245</v>
      </c>
      <c r="B247" s="11">
        <v>6.5309651035288008</v>
      </c>
      <c r="C247" s="11">
        <v>3.2374594161150001</v>
      </c>
      <c r="D247" s="11">
        <v>0.15690311509900001</v>
      </c>
      <c r="E247" s="11">
        <v>4.7465759349464705</v>
      </c>
      <c r="F247" s="11"/>
      <c r="G247" s="11">
        <v>14.671903569689272</v>
      </c>
      <c r="H247" s="11"/>
      <c r="I247" s="914">
        <f>+SUM(B248:B$501)</f>
        <v>1268.1701546639058</v>
      </c>
      <c r="J247" s="914">
        <f>+SUM(C248:C$501)</f>
        <v>443.71482964482993</v>
      </c>
      <c r="K247" s="914">
        <f t="shared" si="18"/>
        <v>1711.8849843087357</v>
      </c>
      <c r="L247" s="914">
        <f>+SUM(D248:D$501)</f>
        <v>174.2699664108361</v>
      </c>
      <c r="M247" s="914">
        <f>+SUM(E248:E$501)</f>
        <v>6074.9311725255402</v>
      </c>
      <c r="N247" s="914">
        <f>+SUM(F248:F$501)</f>
        <v>16.222817714093303</v>
      </c>
      <c r="O247" s="914">
        <f>+SUM(G248:G$501)</f>
        <v>7977.3089409591985</v>
      </c>
      <c r="P247" s="11">
        <f t="shared" si="19"/>
        <v>4.7465759349464705</v>
      </c>
      <c r="Q247" s="913">
        <f t="shared" si="20"/>
        <v>0</v>
      </c>
      <c r="R247" s="11">
        <f t="shared" si="21"/>
        <v>1.6900169761500002E-2</v>
      </c>
      <c r="S247" s="913">
        <f t="shared" si="22"/>
        <v>1</v>
      </c>
    </row>
    <row r="248" spans="1:19" x14ac:dyDescent="0.2">
      <c r="A248" s="11">
        <f t="shared" si="23"/>
        <v>246</v>
      </c>
      <c r="B248" s="11">
        <v>4.5413415152282894</v>
      </c>
      <c r="C248" s="11">
        <v>3.7871297039999998</v>
      </c>
      <c r="D248" s="11">
        <v>3.2255487898099999</v>
      </c>
      <c r="E248" s="11">
        <v>1.6856677741069999</v>
      </c>
      <c r="F248" s="11">
        <v>1.6900169761500002E-2</v>
      </c>
      <c r="G248" s="11">
        <v>13.25658795290679</v>
      </c>
      <c r="H248" s="11"/>
      <c r="I248" s="914">
        <f>+SUM(B249:B$501)</f>
        <v>1263.6288131486774</v>
      </c>
      <c r="J248" s="914">
        <f>+SUM(C249:C$501)</f>
        <v>439.92769994082994</v>
      </c>
      <c r="K248" s="914">
        <f t="shared" si="18"/>
        <v>1703.5565130895075</v>
      </c>
      <c r="L248" s="914">
        <f>+SUM(D249:D$501)</f>
        <v>171.0444176210261</v>
      </c>
      <c r="M248" s="914">
        <f>+SUM(E249:E$501)</f>
        <v>6073.2455047514331</v>
      </c>
      <c r="N248" s="914">
        <f>+SUM(F249:F$501)</f>
        <v>16.2059175443318</v>
      </c>
      <c r="O248" s="914">
        <f>+SUM(G249:G$501)</f>
        <v>7964.0523530062919</v>
      </c>
      <c r="P248" s="11">
        <f t="shared" si="19"/>
        <v>1.6856677741069999</v>
      </c>
      <c r="Q248" s="913">
        <f t="shared" si="20"/>
        <v>0</v>
      </c>
      <c r="R248" s="11">
        <f t="shared" si="21"/>
        <v>1.6900169761500002E-2</v>
      </c>
      <c r="S248" s="913">
        <f t="shared" si="22"/>
        <v>0</v>
      </c>
    </row>
    <row r="249" spans="1:19" x14ac:dyDescent="0.2">
      <c r="A249" s="11">
        <f t="shared" si="23"/>
        <v>247</v>
      </c>
      <c r="B249" s="11">
        <v>6.1906300217437993</v>
      </c>
      <c r="C249" s="11">
        <v>3.7750835310899999</v>
      </c>
      <c r="D249" s="11">
        <v>2.1332708634220001</v>
      </c>
      <c r="E249" s="11">
        <v>2.2632576165299999E-4</v>
      </c>
      <c r="F249" s="11">
        <v>0.23065591530099999</v>
      </c>
      <c r="G249" s="11">
        <v>12.329866657318453</v>
      </c>
      <c r="H249" s="11"/>
      <c r="I249" s="914">
        <f>+SUM(B250:B$501)</f>
        <v>1257.4381831269336</v>
      </c>
      <c r="J249" s="914">
        <f>+SUM(C250:C$501)</f>
        <v>436.15261640973995</v>
      </c>
      <c r="K249" s="914">
        <f t="shared" si="18"/>
        <v>1693.5907995366736</v>
      </c>
      <c r="L249" s="914">
        <f>+SUM(D250:D$501)</f>
        <v>168.91114675760412</v>
      </c>
      <c r="M249" s="914">
        <f>+SUM(E250:E$501)</f>
        <v>6073.2452784256702</v>
      </c>
      <c r="N249" s="914">
        <f>+SUM(F250:F$501)</f>
        <v>15.975261629030802</v>
      </c>
      <c r="O249" s="914">
        <f>+SUM(G250:G$501)</f>
        <v>7951.7224863489746</v>
      </c>
      <c r="P249" s="11">
        <f t="shared" si="19"/>
        <v>2.2632576165299999E-4</v>
      </c>
      <c r="Q249" s="913">
        <f t="shared" si="20"/>
        <v>0</v>
      </c>
      <c r="R249" s="11">
        <f t="shared" si="21"/>
        <v>0.23065591530099999</v>
      </c>
      <c r="S249" s="913">
        <f t="shared" si="22"/>
        <v>0</v>
      </c>
    </row>
    <row r="250" spans="1:19" x14ac:dyDescent="0.2">
      <c r="A250" s="11">
        <f t="shared" si="23"/>
        <v>248</v>
      </c>
      <c r="B250" s="11">
        <v>9.5452849593680007</v>
      </c>
      <c r="C250" s="11">
        <v>1.8463905591000001</v>
      </c>
      <c r="D250" s="11">
        <v>0.58599879345026706</v>
      </c>
      <c r="E250" s="11"/>
      <c r="F250" s="11">
        <v>0.35844584741500002</v>
      </c>
      <c r="G250" s="11">
        <v>12.336120159333268</v>
      </c>
      <c r="H250" s="11"/>
      <c r="I250" s="914">
        <f>+SUM(B251:B$501)</f>
        <v>1247.8928981675656</v>
      </c>
      <c r="J250" s="914">
        <f>+SUM(C251:C$501)</f>
        <v>434.30622585063986</v>
      </c>
      <c r="K250" s="914">
        <f t="shared" si="18"/>
        <v>1682.1991240182056</v>
      </c>
      <c r="L250" s="914">
        <f>+SUM(D251:D$501)</f>
        <v>168.32514796415384</v>
      </c>
      <c r="M250" s="914">
        <f>+SUM(E251:E$501)</f>
        <v>6073.2452784256702</v>
      </c>
      <c r="N250" s="914">
        <f>+SUM(F251:F$501)</f>
        <v>15.616815781615802</v>
      </c>
      <c r="O250" s="914">
        <f>+SUM(G251:G$501)</f>
        <v>7939.3863661896403</v>
      </c>
      <c r="P250" s="11">
        <f t="shared" si="19"/>
        <v>8.1545010392199996E-2</v>
      </c>
      <c r="Q250" s="913">
        <f t="shared" si="20"/>
        <v>1</v>
      </c>
      <c r="R250" s="11">
        <f t="shared" si="21"/>
        <v>0.35844584741500002</v>
      </c>
      <c r="S250" s="913">
        <f t="shared" si="22"/>
        <v>0</v>
      </c>
    </row>
    <row r="251" spans="1:19" x14ac:dyDescent="0.2">
      <c r="A251" s="11">
        <f t="shared" si="23"/>
        <v>249</v>
      </c>
      <c r="B251" s="11">
        <v>11.415518642173982</v>
      </c>
      <c r="C251" s="11">
        <v>0.5922728216641</v>
      </c>
      <c r="D251" s="11"/>
      <c r="E251" s="11">
        <v>8.1545010392199996E-2</v>
      </c>
      <c r="F251" s="11">
        <v>0.17902452277799999</v>
      </c>
      <c r="G251" s="11">
        <v>12.268360997008282</v>
      </c>
      <c r="H251" s="11"/>
      <c r="I251" s="914">
        <f>+SUM(B252:B$501)</f>
        <v>1236.4773795253911</v>
      </c>
      <c r="J251" s="914">
        <f>+SUM(C252:C$501)</f>
        <v>433.71395302897577</v>
      </c>
      <c r="K251" s="914">
        <f t="shared" si="18"/>
        <v>1670.1913325543669</v>
      </c>
      <c r="L251" s="914">
        <f>+SUM(D252:D$501)</f>
        <v>168.32514796415384</v>
      </c>
      <c r="M251" s="914">
        <f>+SUM(E252:E$501)</f>
        <v>6073.1637334152792</v>
      </c>
      <c r="N251" s="914">
        <f>+SUM(F252:F$501)</f>
        <v>15.437791258837802</v>
      </c>
      <c r="O251" s="914">
        <f>+SUM(G252:G$501)</f>
        <v>7927.1180051926322</v>
      </c>
      <c r="P251" s="11">
        <f t="shared" si="19"/>
        <v>8.1545010392199996E-2</v>
      </c>
      <c r="Q251" s="913">
        <f t="shared" si="20"/>
        <v>0</v>
      </c>
      <c r="R251" s="11">
        <f t="shared" si="21"/>
        <v>0.17902452277799999</v>
      </c>
      <c r="S251" s="913">
        <f t="shared" si="22"/>
        <v>0</v>
      </c>
    </row>
    <row r="252" spans="1:19" x14ac:dyDescent="0.2">
      <c r="A252" s="11">
        <f t="shared" si="23"/>
        <v>250</v>
      </c>
      <c r="B252" s="11">
        <v>9.4548720111706999</v>
      </c>
      <c r="C252" s="11">
        <v>0.7668988970072399</v>
      </c>
      <c r="D252" s="11">
        <v>0.55263832687559999</v>
      </c>
      <c r="E252" s="11">
        <v>0.80954110858541994</v>
      </c>
      <c r="F252" s="11">
        <v>0.123185802614</v>
      </c>
      <c r="G252" s="11">
        <v>11.707136146252958</v>
      </c>
      <c r="H252" s="11"/>
      <c r="I252" s="914">
        <f>+SUM(B253:B$501)</f>
        <v>1227.0225075142203</v>
      </c>
      <c r="J252" s="914">
        <f>+SUM(C253:C$501)</f>
        <v>432.94705413196846</v>
      </c>
      <c r="K252" s="914">
        <f t="shared" si="18"/>
        <v>1659.9695616461886</v>
      </c>
      <c r="L252" s="914">
        <f>+SUM(D253:D$501)</f>
        <v>167.77250963727826</v>
      </c>
      <c r="M252" s="914">
        <f>+SUM(E253:E$501)</f>
        <v>6072.3541923066941</v>
      </c>
      <c r="N252" s="914">
        <f>+SUM(F253:F$501)</f>
        <v>15.314605456223802</v>
      </c>
      <c r="O252" s="914">
        <f>+SUM(G253:G$501)</f>
        <v>7915.410869046379</v>
      </c>
      <c r="P252" s="11">
        <f t="shared" si="19"/>
        <v>0.80954110858541994</v>
      </c>
      <c r="Q252" s="913">
        <f t="shared" si="20"/>
        <v>0</v>
      </c>
      <c r="R252" s="11">
        <f t="shared" si="21"/>
        <v>0.123185802614</v>
      </c>
      <c r="S252" s="913">
        <f t="shared" si="22"/>
        <v>0</v>
      </c>
    </row>
    <row r="253" spans="1:19" x14ac:dyDescent="0.2">
      <c r="A253" s="11">
        <f t="shared" si="23"/>
        <v>251</v>
      </c>
      <c r="B253" s="11">
        <v>5.6214187118766006</v>
      </c>
      <c r="C253" s="11">
        <v>1.1924661419791001</v>
      </c>
      <c r="D253" s="11">
        <v>1.2263539336540001</v>
      </c>
      <c r="E253" s="11">
        <v>2.8695098226889999</v>
      </c>
      <c r="F253" s="11"/>
      <c r="G253" s="11">
        <v>10.909748610198701</v>
      </c>
      <c r="H253" s="11"/>
      <c r="I253" s="914">
        <f>+SUM(B254:B$501)</f>
        <v>1221.4010888023438</v>
      </c>
      <c r="J253" s="914">
        <f>+SUM(C254:C$501)</f>
        <v>431.75458798998943</v>
      </c>
      <c r="K253" s="914">
        <f t="shared" si="18"/>
        <v>1653.1556767923332</v>
      </c>
      <c r="L253" s="914">
        <f>+SUM(D254:D$501)</f>
        <v>166.54615570362427</v>
      </c>
      <c r="M253" s="914">
        <f>+SUM(E254:E$501)</f>
        <v>6069.4846824840051</v>
      </c>
      <c r="N253" s="914">
        <f>+SUM(F254:F$501)</f>
        <v>15.314605456223802</v>
      </c>
      <c r="O253" s="914">
        <f>+SUM(G254:G$501)</f>
        <v>7904.5011204361808</v>
      </c>
      <c r="P253" s="11">
        <f t="shared" si="19"/>
        <v>2.8695098226889999</v>
      </c>
      <c r="Q253" s="913">
        <f t="shared" si="20"/>
        <v>0</v>
      </c>
      <c r="R253" s="11">
        <f t="shared" si="21"/>
        <v>0.50556260791100005</v>
      </c>
      <c r="S253" s="913">
        <f t="shared" si="22"/>
        <v>1</v>
      </c>
    </row>
    <row r="254" spans="1:19" x14ac:dyDescent="0.2">
      <c r="A254" s="11">
        <f t="shared" si="23"/>
        <v>252</v>
      </c>
      <c r="B254" s="11">
        <v>4.52734105608</v>
      </c>
      <c r="C254" s="11">
        <v>0.66468512909900002</v>
      </c>
      <c r="D254" s="11"/>
      <c r="E254" s="11">
        <v>4.6911582810530001</v>
      </c>
      <c r="F254" s="11">
        <v>0.50556260791100005</v>
      </c>
      <c r="G254" s="11">
        <v>10.388747074143001</v>
      </c>
      <c r="H254" s="11"/>
      <c r="I254" s="914">
        <f>+SUM(B255:B$501)</f>
        <v>1216.8737477462637</v>
      </c>
      <c r="J254" s="914">
        <f>+SUM(C255:C$501)</f>
        <v>431.08990286089045</v>
      </c>
      <c r="K254" s="914">
        <f t="shared" si="18"/>
        <v>1647.9636506071542</v>
      </c>
      <c r="L254" s="914">
        <f>+SUM(D255:D$501)</f>
        <v>166.54615570362427</v>
      </c>
      <c r="M254" s="914">
        <f>+SUM(E255:E$501)</f>
        <v>6064.7935242029516</v>
      </c>
      <c r="N254" s="914">
        <f>+SUM(F255:F$501)</f>
        <v>14.809042848312803</v>
      </c>
      <c r="O254" s="914">
        <f>+SUM(G255:G$501)</f>
        <v>7894.1123733620379</v>
      </c>
      <c r="P254" s="11">
        <f t="shared" si="19"/>
        <v>4.6911582810530001</v>
      </c>
      <c r="Q254" s="913">
        <f t="shared" si="20"/>
        <v>0</v>
      </c>
      <c r="R254" s="11">
        <f t="shared" si="21"/>
        <v>0.50556260791100005</v>
      </c>
      <c r="S254" s="913">
        <f t="shared" si="22"/>
        <v>0</v>
      </c>
    </row>
    <row r="255" spans="1:19" x14ac:dyDescent="0.2">
      <c r="A255" s="11">
        <f t="shared" si="23"/>
        <v>253</v>
      </c>
      <c r="B255" s="11">
        <v>3.1043142131899999</v>
      </c>
      <c r="C255" s="11"/>
      <c r="D255" s="11">
        <v>0.178706410708</v>
      </c>
      <c r="E255" s="11">
        <v>7.252802104663</v>
      </c>
      <c r="F255" s="11">
        <v>2.2009863542000001E-2</v>
      </c>
      <c r="G255" s="11">
        <v>10.557832592102999</v>
      </c>
      <c r="H255" s="11"/>
      <c r="I255" s="914">
        <f>+SUM(B256:B$501)</f>
        <v>1213.7694335330737</v>
      </c>
      <c r="J255" s="914">
        <f>+SUM(C256:C$501)</f>
        <v>431.08990286089045</v>
      </c>
      <c r="K255" s="914">
        <f t="shared" si="18"/>
        <v>1644.859336393964</v>
      </c>
      <c r="L255" s="914">
        <f>+SUM(D256:D$501)</f>
        <v>166.36744929291626</v>
      </c>
      <c r="M255" s="914">
        <f>+SUM(E256:E$501)</f>
        <v>6057.5407220982879</v>
      </c>
      <c r="N255" s="914">
        <f>+SUM(F256:F$501)</f>
        <v>14.787032984770802</v>
      </c>
      <c r="O255" s="914">
        <f>+SUM(G256:G$501)</f>
        <v>7883.5545407699346</v>
      </c>
      <c r="P255" s="11">
        <f t="shared" si="19"/>
        <v>7.252802104663</v>
      </c>
      <c r="Q255" s="913">
        <f t="shared" si="20"/>
        <v>0</v>
      </c>
      <c r="R255" s="11">
        <f t="shared" si="21"/>
        <v>2.2009863542000001E-2</v>
      </c>
      <c r="S255" s="913">
        <f t="shared" si="22"/>
        <v>0</v>
      </c>
    </row>
    <row r="256" spans="1:19" x14ac:dyDescent="0.2">
      <c r="A256" s="11">
        <f t="shared" si="23"/>
        <v>254</v>
      </c>
      <c r="B256" s="11">
        <v>1.9430071920787</v>
      </c>
      <c r="C256" s="11"/>
      <c r="D256" s="11">
        <v>1.2679844971200001</v>
      </c>
      <c r="E256" s="11">
        <v>7.8525096795460492</v>
      </c>
      <c r="F256" s="11"/>
      <c r="G256" s="11">
        <v>11.063501368744749</v>
      </c>
      <c r="H256" s="11"/>
      <c r="I256" s="914">
        <f>+SUM(B257:B$501)</f>
        <v>1211.8264263409949</v>
      </c>
      <c r="J256" s="914">
        <f>+SUM(C257:C$501)</f>
        <v>431.08990286089045</v>
      </c>
      <c r="K256" s="914">
        <f t="shared" si="18"/>
        <v>1642.9163292018852</v>
      </c>
      <c r="L256" s="914">
        <f>+SUM(D257:D$501)</f>
        <v>165.09946479579625</v>
      </c>
      <c r="M256" s="914">
        <f>+SUM(E257:E$501)</f>
        <v>6049.6882124187423</v>
      </c>
      <c r="N256" s="914">
        <f>+SUM(F257:F$501)</f>
        <v>14.787032984770802</v>
      </c>
      <c r="O256" s="914">
        <f>+SUM(G257:G$501)</f>
        <v>7872.4910394011904</v>
      </c>
      <c r="P256" s="11">
        <f t="shared" si="19"/>
        <v>7.8525096795460492</v>
      </c>
      <c r="Q256" s="913">
        <f t="shared" si="20"/>
        <v>0</v>
      </c>
      <c r="R256" s="11">
        <f t="shared" si="21"/>
        <v>8.2169454054900004E-2</v>
      </c>
      <c r="S256" s="913">
        <f t="shared" si="22"/>
        <v>88</v>
      </c>
    </row>
    <row r="257" spans="1:19" x14ac:dyDescent="0.2">
      <c r="A257" s="11">
        <f t="shared" si="23"/>
        <v>255</v>
      </c>
      <c r="B257" s="11">
        <v>2.7005196901529702</v>
      </c>
      <c r="C257" s="11"/>
      <c r="D257" s="11">
        <v>8.2709131386100004E-2</v>
      </c>
      <c r="E257" s="11">
        <v>9.3820155466399999</v>
      </c>
      <c r="F257" s="11"/>
      <c r="G257" s="11">
        <v>12.165244368179071</v>
      </c>
      <c r="H257" s="11"/>
      <c r="I257" s="914">
        <f>+SUM(B258:B$501)</f>
        <v>1209.1259066508421</v>
      </c>
      <c r="J257" s="914">
        <f>+SUM(C258:C$501)</f>
        <v>431.08990286089045</v>
      </c>
      <c r="K257" s="914">
        <f t="shared" si="18"/>
        <v>1640.2158095117325</v>
      </c>
      <c r="L257" s="914">
        <f>+SUM(D258:D$501)</f>
        <v>165.01675566441017</v>
      </c>
      <c r="M257" s="914">
        <f>+SUM(E258:E$501)</f>
        <v>6040.3061968721022</v>
      </c>
      <c r="N257" s="914">
        <f>+SUM(F258:F$501)</f>
        <v>14.787032984770802</v>
      </c>
      <c r="O257" s="914">
        <f>+SUM(G258:G$501)</f>
        <v>7860.3257950330108</v>
      </c>
      <c r="P257" s="11">
        <f t="shared" si="19"/>
        <v>9.3820155466399999</v>
      </c>
      <c r="Q257" s="913">
        <f t="shared" si="20"/>
        <v>0</v>
      </c>
      <c r="R257" s="11">
        <f t="shared" si="21"/>
        <v>8.2169454054900004E-2</v>
      </c>
      <c r="S257" s="913">
        <f t="shared" si="22"/>
        <v>87</v>
      </c>
    </row>
    <row r="258" spans="1:19" x14ac:dyDescent="0.2">
      <c r="A258" s="11">
        <f t="shared" si="23"/>
        <v>256</v>
      </c>
      <c r="B258" s="11">
        <v>5.7844180200399995</v>
      </c>
      <c r="C258" s="11"/>
      <c r="D258" s="11">
        <v>0.19838728099799999</v>
      </c>
      <c r="E258" s="11">
        <v>7.5098272407535003</v>
      </c>
      <c r="F258" s="11"/>
      <c r="G258" s="11">
        <v>13.492632541791501</v>
      </c>
      <c r="H258" s="11"/>
      <c r="I258" s="914">
        <f>+SUM(B259:B$501)</f>
        <v>1203.3414886308021</v>
      </c>
      <c r="J258" s="914">
        <f>+SUM(C259:C$501)</f>
        <v>431.08990286089045</v>
      </c>
      <c r="K258" s="914">
        <f t="shared" si="18"/>
        <v>1634.4313914916925</v>
      </c>
      <c r="L258" s="914">
        <f>+SUM(D259:D$501)</f>
        <v>164.81836838341215</v>
      </c>
      <c r="M258" s="914">
        <f>+SUM(E259:E$501)</f>
        <v>6032.7963696313482</v>
      </c>
      <c r="N258" s="914">
        <f>+SUM(F259:F$501)</f>
        <v>14.787032984770802</v>
      </c>
      <c r="O258" s="914">
        <f>+SUM(G259:G$501)</f>
        <v>7846.8331624912198</v>
      </c>
      <c r="P258" s="11">
        <f t="shared" si="19"/>
        <v>7.5098272407535003</v>
      </c>
      <c r="Q258" s="913">
        <f t="shared" si="20"/>
        <v>0</v>
      </c>
      <c r="R258" s="11">
        <f t="shared" si="21"/>
        <v>8.2169454054900004E-2</v>
      </c>
      <c r="S258" s="913">
        <f t="shared" si="22"/>
        <v>86</v>
      </c>
    </row>
    <row r="259" spans="1:19" x14ac:dyDescent="0.2">
      <c r="A259" s="11">
        <f t="shared" si="23"/>
        <v>257</v>
      </c>
      <c r="B259" s="11">
        <v>4.6637900318167507</v>
      </c>
      <c r="C259" s="11"/>
      <c r="D259" s="11"/>
      <c r="E259" s="11">
        <v>9.6433331660280004</v>
      </c>
      <c r="F259" s="11"/>
      <c r="G259" s="11">
        <v>14.307123197844751</v>
      </c>
      <c r="H259" s="11"/>
      <c r="I259" s="914">
        <f>+SUM(B260:B$501)</f>
        <v>1198.6776985989854</v>
      </c>
      <c r="J259" s="914">
        <f>+SUM(C260:C$501)</f>
        <v>431.08990286089045</v>
      </c>
      <c r="K259" s="914">
        <f t="shared" si="18"/>
        <v>1629.767601459876</v>
      </c>
      <c r="L259" s="914">
        <f>+SUM(D260:D$501)</f>
        <v>164.81836838341215</v>
      </c>
      <c r="M259" s="914">
        <f>+SUM(E260:E$501)</f>
        <v>6023.1530364653199</v>
      </c>
      <c r="N259" s="914">
        <f>+SUM(F260:F$501)</f>
        <v>14.787032984770802</v>
      </c>
      <c r="O259" s="914">
        <f>+SUM(G260:G$501)</f>
        <v>7832.5260392933751</v>
      </c>
      <c r="P259" s="11">
        <f t="shared" si="19"/>
        <v>9.6433331660280004</v>
      </c>
      <c r="Q259" s="913">
        <f t="shared" si="20"/>
        <v>0</v>
      </c>
      <c r="R259" s="11">
        <f t="shared" si="21"/>
        <v>8.2169454054900004E-2</v>
      </c>
      <c r="S259" s="913">
        <f t="shared" si="22"/>
        <v>85</v>
      </c>
    </row>
    <row r="260" spans="1:19" x14ac:dyDescent="0.2">
      <c r="A260" s="11">
        <f t="shared" si="23"/>
        <v>258</v>
      </c>
      <c r="B260" s="11">
        <v>4.1178824796260001</v>
      </c>
      <c r="C260" s="11"/>
      <c r="D260" s="11"/>
      <c r="E260" s="11">
        <v>10.197359068598001</v>
      </c>
      <c r="F260" s="11"/>
      <c r="G260" s="11">
        <v>14.315241548224002</v>
      </c>
      <c r="H260" s="11"/>
      <c r="I260" s="914">
        <f>+SUM(B261:B$501)</f>
        <v>1194.5598161193593</v>
      </c>
      <c r="J260" s="914">
        <f>+SUM(C261:C$501)</f>
        <v>431.08990286089045</v>
      </c>
      <c r="K260" s="914">
        <f t="shared" ref="K260:K323" si="24">+I260+J260</f>
        <v>1625.6497189802499</v>
      </c>
      <c r="L260" s="914">
        <f>+SUM(D261:D$501)</f>
        <v>164.81836838341215</v>
      </c>
      <c r="M260" s="914">
        <f>+SUM(E261:E$501)</f>
        <v>6012.9556773967224</v>
      </c>
      <c r="N260" s="914">
        <f>+SUM(F261:F$501)</f>
        <v>14.787032984770802</v>
      </c>
      <c r="O260" s="914">
        <f>+SUM(G261:G$501)</f>
        <v>7818.2107977451515</v>
      </c>
      <c r="P260" s="11">
        <f t="shared" ref="P260:P323" si="25">IF(E260&gt;0,E260,P261)</f>
        <v>10.197359068598001</v>
      </c>
      <c r="Q260" s="913">
        <f t="shared" ref="Q260:Q323" si="26">+IF(E260&gt;0, 0, Q261+A261-A260)</f>
        <v>0</v>
      </c>
      <c r="R260" s="11">
        <f t="shared" ref="R260:R323" si="27">IF(F260&gt;0,F260,R261)</f>
        <v>8.2169454054900004E-2</v>
      </c>
      <c r="S260" s="913">
        <f t="shared" ref="S260:S323" si="28">+IF(F260&gt;0, 0, S261+A261-A260)</f>
        <v>84</v>
      </c>
    </row>
    <row r="261" spans="1:19" x14ac:dyDescent="0.2">
      <c r="A261" s="11">
        <f t="shared" si="23"/>
        <v>259</v>
      </c>
      <c r="B261" s="11">
        <v>4.5613480141550005</v>
      </c>
      <c r="C261" s="11"/>
      <c r="D261" s="11"/>
      <c r="E261" s="11">
        <v>8.9984609144179988</v>
      </c>
      <c r="F261" s="11"/>
      <c r="G261" s="11">
        <v>13.559808928572998</v>
      </c>
      <c r="H261" s="11"/>
      <c r="I261" s="914">
        <f>+SUM(B262:B$501)</f>
        <v>1189.9984681052044</v>
      </c>
      <c r="J261" s="914">
        <f>+SUM(C262:C$501)</f>
        <v>431.08990286089045</v>
      </c>
      <c r="K261" s="914">
        <f t="shared" si="24"/>
        <v>1621.0883709660948</v>
      </c>
      <c r="L261" s="914">
        <f>+SUM(D262:D$501)</f>
        <v>164.81836838341215</v>
      </c>
      <c r="M261" s="914">
        <f>+SUM(E262:E$501)</f>
        <v>6003.9572164823048</v>
      </c>
      <c r="N261" s="914">
        <f>+SUM(F262:F$501)</f>
        <v>14.787032984770802</v>
      </c>
      <c r="O261" s="914">
        <f>+SUM(G262:G$501)</f>
        <v>7804.6509888165792</v>
      </c>
      <c r="P261" s="11">
        <f t="shared" si="25"/>
        <v>8.9984609144179988</v>
      </c>
      <c r="Q261" s="913">
        <f t="shared" si="26"/>
        <v>0</v>
      </c>
      <c r="R261" s="11">
        <f t="shared" si="27"/>
        <v>8.2169454054900004E-2</v>
      </c>
      <c r="S261" s="913">
        <f t="shared" si="28"/>
        <v>83</v>
      </c>
    </row>
    <row r="262" spans="1:19" x14ac:dyDescent="0.2">
      <c r="A262" s="11">
        <f t="shared" ref="A262:A325" si="29">1+A261</f>
        <v>260</v>
      </c>
      <c r="B262" s="11">
        <v>4.4426950196220005</v>
      </c>
      <c r="C262" s="11"/>
      <c r="D262" s="11"/>
      <c r="E262" s="11">
        <v>7.8712965734389995</v>
      </c>
      <c r="F262" s="11"/>
      <c r="G262" s="11">
        <v>12.313991593061001</v>
      </c>
      <c r="H262" s="11"/>
      <c r="I262" s="914">
        <f>+SUM(B263:B$501)</f>
        <v>1185.5557730855824</v>
      </c>
      <c r="J262" s="914">
        <f>+SUM(C263:C$501)</f>
        <v>431.08990286089045</v>
      </c>
      <c r="K262" s="914">
        <f t="shared" si="24"/>
        <v>1616.6456759464727</v>
      </c>
      <c r="L262" s="914">
        <f>+SUM(D263:D$501)</f>
        <v>164.81836838341215</v>
      </c>
      <c r="M262" s="914">
        <f>+SUM(E263:E$501)</f>
        <v>5996.0859199088654</v>
      </c>
      <c r="N262" s="914">
        <f>+SUM(F263:F$501)</f>
        <v>14.787032984770802</v>
      </c>
      <c r="O262" s="914">
        <f>+SUM(G263:G$501)</f>
        <v>7792.3369972235168</v>
      </c>
      <c r="P262" s="11">
        <f t="shared" si="25"/>
        <v>7.8712965734389995</v>
      </c>
      <c r="Q262" s="913">
        <f t="shared" si="26"/>
        <v>0</v>
      </c>
      <c r="R262" s="11">
        <f t="shared" si="27"/>
        <v>8.2169454054900004E-2</v>
      </c>
      <c r="S262" s="913">
        <f t="shared" si="28"/>
        <v>82</v>
      </c>
    </row>
    <row r="263" spans="1:19" x14ac:dyDescent="0.2">
      <c r="A263" s="11">
        <f t="shared" si="29"/>
        <v>261</v>
      </c>
      <c r="B263" s="11">
        <v>3.1435371471004001</v>
      </c>
      <c r="C263" s="11"/>
      <c r="D263" s="11">
        <v>0.120842286353</v>
      </c>
      <c r="E263" s="11">
        <v>8.0083899770810003</v>
      </c>
      <c r="F263" s="11"/>
      <c r="G263" s="11">
        <v>11.272769410534401</v>
      </c>
      <c r="H263" s="11"/>
      <c r="I263" s="914">
        <f>+SUM(B264:B$501)</f>
        <v>1182.4122359384821</v>
      </c>
      <c r="J263" s="914">
        <f>+SUM(C264:C$501)</f>
        <v>431.08990286089045</v>
      </c>
      <c r="K263" s="914">
        <f t="shared" si="24"/>
        <v>1613.5021387993725</v>
      </c>
      <c r="L263" s="914">
        <f>+SUM(D264:D$501)</f>
        <v>164.69752609705915</v>
      </c>
      <c r="M263" s="914">
        <f>+SUM(E264:E$501)</f>
        <v>5988.0775299317838</v>
      </c>
      <c r="N263" s="914">
        <f>+SUM(F264:F$501)</f>
        <v>14.787032984770802</v>
      </c>
      <c r="O263" s="914">
        <f>+SUM(G264:G$501)</f>
        <v>7781.0642278129826</v>
      </c>
      <c r="P263" s="11">
        <f t="shared" si="25"/>
        <v>8.0083899770810003</v>
      </c>
      <c r="Q263" s="913">
        <f t="shared" si="26"/>
        <v>0</v>
      </c>
      <c r="R263" s="11">
        <f t="shared" si="27"/>
        <v>8.2169454054900004E-2</v>
      </c>
      <c r="S263" s="913">
        <f t="shared" si="28"/>
        <v>81</v>
      </c>
    </row>
    <row r="264" spans="1:19" x14ac:dyDescent="0.2">
      <c r="A264" s="11">
        <f t="shared" si="29"/>
        <v>262</v>
      </c>
      <c r="B264" s="11">
        <v>4.3797793618049994</v>
      </c>
      <c r="C264" s="11"/>
      <c r="D264" s="11">
        <v>0.88771755995900792</v>
      </c>
      <c r="E264" s="11">
        <v>4.7939351839799995</v>
      </c>
      <c r="F264" s="11"/>
      <c r="G264" s="11">
        <v>10.061432105744007</v>
      </c>
      <c r="H264" s="11"/>
      <c r="I264" s="914">
        <f>+SUM(B265:B$501)</f>
        <v>1178.0324565766771</v>
      </c>
      <c r="J264" s="914">
        <f>+SUM(C265:C$501)</f>
        <v>431.08990286089045</v>
      </c>
      <c r="K264" s="914">
        <f t="shared" si="24"/>
        <v>1609.1223594375674</v>
      </c>
      <c r="L264" s="914">
        <f>+SUM(D265:D$501)</f>
        <v>163.80980853710014</v>
      </c>
      <c r="M264" s="914">
        <f>+SUM(E265:E$501)</f>
        <v>5983.2835947478043</v>
      </c>
      <c r="N264" s="914">
        <f>+SUM(F265:F$501)</f>
        <v>14.787032984770802</v>
      </c>
      <c r="O264" s="914">
        <f>+SUM(G265:G$501)</f>
        <v>7771.0027957072389</v>
      </c>
      <c r="P264" s="11">
        <f t="shared" si="25"/>
        <v>4.7939351839799995</v>
      </c>
      <c r="Q264" s="913">
        <f t="shared" si="26"/>
        <v>0</v>
      </c>
      <c r="R264" s="11">
        <f t="shared" si="27"/>
        <v>8.2169454054900004E-2</v>
      </c>
      <c r="S264" s="913">
        <f t="shared" si="28"/>
        <v>80</v>
      </c>
    </row>
    <row r="265" spans="1:19" x14ac:dyDescent="0.2">
      <c r="A265" s="11">
        <f t="shared" si="29"/>
        <v>263</v>
      </c>
      <c r="B265" s="11">
        <v>2.86031683035</v>
      </c>
      <c r="C265" s="11"/>
      <c r="D265" s="11">
        <v>2.9224285254739999</v>
      </c>
      <c r="E265" s="11">
        <v>3.7532809921028001</v>
      </c>
      <c r="F265" s="11"/>
      <c r="G265" s="11">
        <v>9.5360263479267999</v>
      </c>
      <c r="H265" s="11"/>
      <c r="I265" s="914">
        <f>+SUM(B266:B$501)</f>
        <v>1175.172139746327</v>
      </c>
      <c r="J265" s="914">
        <f>+SUM(C266:C$501)</f>
        <v>431.08990286089045</v>
      </c>
      <c r="K265" s="914">
        <f t="shared" si="24"/>
        <v>1606.2620426072176</v>
      </c>
      <c r="L265" s="914">
        <f>+SUM(D266:D$501)</f>
        <v>160.88738001162619</v>
      </c>
      <c r="M265" s="914">
        <f>+SUM(E266:E$501)</f>
        <v>5979.5303137557012</v>
      </c>
      <c r="N265" s="914">
        <f>+SUM(F266:F$501)</f>
        <v>14.787032984770802</v>
      </c>
      <c r="O265" s="914">
        <f>+SUM(G266:G$501)</f>
        <v>7761.4667693593119</v>
      </c>
      <c r="P265" s="11">
        <f t="shared" si="25"/>
        <v>3.7532809921028001</v>
      </c>
      <c r="Q265" s="913">
        <f t="shared" si="26"/>
        <v>0</v>
      </c>
      <c r="R265" s="11">
        <f t="shared" si="27"/>
        <v>8.2169454054900004E-2</v>
      </c>
      <c r="S265" s="913">
        <f t="shared" si="28"/>
        <v>79</v>
      </c>
    </row>
    <row r="266" spans="1:19" x14ac:dyDescent="0.2">
      <c r="A266" s="11">
        <f t="shared" si="29"/>
        <v>264</v>
      </c>
      <c r="B266" s="11">
        <v>1.0193534846565999</v>
      </c>
      <c r="C266" s="11">
        <v>1.4645640472000001</v>
      </c>
      <c r="D266" s="11">
        <v>3.5187013847288999</v>
      </c>
      <c r="E266" s="11">
        <v>3.5532307049081995</v>
      </c>
      <c r="F266" s="11"/>
      <c r="G266" s="11">
        <v>9.5558496214936994</v>
      </c>
      <c r="H266" s="11"/>
      <c r="I266" s="914">
        <f>+SUM(B267:B$501)</f>
        <v>1174.1527862616704</v>
      </c>
      <c r="J266" s="914">
        <f>+SUM(C267:C$501)</f>
        <v>429.62533881369041</v>
      </c>
      <c r="K266" s="914">
        <f t="shared" si="24"/>
        <v>1603.7781250753608</v>
      </c>
      <c r="L266" s="914">
        <f>+SUM(D267:D$501)</f>
        <v>157.36867862689729</v>
      </c>
      <c r="M266" s="914">
        <f>+SUM(E267:E$501)</f>
        <v>5975.9770830507941</v>
      </c>
      <c r="N266" s="914">
        <f>+SUM(F267:F$501)</f>
        <v>14.787032984770802</v>
      </c>
      <c r="O266" s="914">
        <f>+SUM(G267:G$501)</f>
        <v>7751.9109197378193</v>
      </c>
      <c r="P266" s="11">
        <f t="shared" si="25"/>
        <v>3.5532307049081995</v>
      </c>
      <c r="Q266" s="913">
        <f t="shared" si="26"/>
        <v>0</v>
      </c>
      <c r="R266" s="11">
        <f t="shared" si="27"/>
        <v>8.2169454054900004E-2</v>
      </c>
      <c r="S266" s="913">
        <f t="shared" si="28"/>
        <v>78</v>
      </c>
    </row>
    <row r="267" spans="1:19" x14ac:dyDescent="0.2">
      <c r="A267" s="11">
        <f t="shared" si="29"/>
        <v>265</v>
      </c>
      <c r="B267" s="11">
        <v>7.7034730290519997</v>
      </c>
      <c r="C267" s="11">
        <v>0.31442782860700003</v>
      </c>
      <c r="D267" s="11">
        <v>0.4696295389597</v>
      </c>
      <c r="E267" s="11">
        <v>1.2702173780699999</v>
      </c>
      <c r="F267" s="11"/>
      <c r="G267" s="11">
        <v>9.7577477746886991</v>
      </c>
      <c r="H267" s="11"/>
      <c r="I267" s="914">
        <f>+SUM(B268:B$501)</f>
        <v>1166.4493132326184</v>
      </c>
      <c r="J267" s="914">
        <f>+SUM(C268:C$501)</f>
        <v>429.31091098508341</v>
      </c>
      <c r="K267" s="914">
        <f t="shared" si="24"/>
        <v>1595.7602242177018</v>
      </c>
      <c r="L267" s="914">
        <f>+SUM(D268:D$501)</f>
        <v>156.89904908793758</v>
      </c>
      <c r="M267" s="914">
        <f>+SUM(E268:E$501)</f>
        <v>5974.7068656727233</v>
      </c>
      <c r="N267" s="914">
        <f>+SUM(F268:F$501)</f>
        <v>14.787032984770802</v>
      </c>
      <c r="O267" s="914">
        <f>+SUM(G268:G$501)</f>
        <v>7742.1531719631303</v>
      </c>
      <c r="P267" s="11">
        <f t="shared" si="25"/>
        <v>1.2702173780699999</v>
      </c>
      <c r="Q267" s="913">
        <f t="shared" si="26"/>
        <v>0</v>
      </c>
      <c r="R267" s="11">
        <f t="shared" si="27"/>
        <v>8.2169454054900004E-2</v>
      </c>
      <c r="S267" s="913">
        <f t="shared" si="28"/>
        <v>77</v>
      </c>
    </row>
    <row r="268" spans="1:19" x14ac:dyDescent="0.2">
      <c r="A268" s="11">
        <f t="shared" si="29"/>
        <v>266</v>
      </c>
      <c r="B268" s="11">
        <v>7.1488252268549299</v>
      </c>
      <c r="C268" s="11"/>
      <c r="D268" s="11">
        <v>2.57934233747</v>
      </c>
      <c r="E268" s="11">
        <v>9.1927729685500004E-2</v>
      </c>
      <c r="F268" s="11"/>
      <c r="G268" s="11">
        <v>9.8200952940104305</v>
      </c>
      <c r="H268" s="11"/>
      <c r="I268" s="914">
        <f>+SUM(B269:B$501)</f>
        <v>1159.3004880057633</v>
      </c>
      <c r="J268" s="914">
        <f>+SUM(C269:C$501)</f>
        <v>429.31091098508341</v>
      </c>
      <c r="K268" s="914">
        <f t="shared" si="24"/>
        <v>1588.6113989908467</v>
      </c>
      <c r="L268" s="914">
        <f>+SUM(D269:D$501)</f>
        <v>154.31970675046759</v>
      </c>
      <c r="M268" s="914">
        <f>+SUM(E269:E$501)</f>
        <v>5974.6149379430381</v>
      </c>
      <c r="N268" s="914">
        <f>+SUM(F269:F$501)</f>
        <v>14.787032984770802</v>
      </c>
      <c r="O268" s="914">
        <f>+SUM(G269:G$501)</f>
        <v>7732.3330766691188</v>
      </c>
      <c r="P268" s="11">
        <f t="shared" si="25"/>
        <v>9.1927729685500004E-2</v>
      </c>
      <c r="Q268" s="913">
        <f t="shared" si="26"/>
        <v>0</v>
      </c>
      <c r="R268" s="11">
        <f t="shared" si="27"/>
        <v>8.2169454054900004E-2</v>
      </c>
      <c r="S268" s="913">
        <f t="shared" si="28"/>
        <v>76</v>
      </c>
    </row>
    <row r="269" spans="1:19" x14ac:dyDescent="0.2">
      <c r="A269" s="11">
        <f t="shared" si="29"/>
        <v>267</v>
      </c>
      <c r="B269" s="11">
        <v>6.7358045714798198</v>
      </c>
      <c r="C269" s="11"/>
      <c r="D269" s="11">
        <v>1.8172475566690001</v>
      </c>
      <c r="E269" s="11">
        <v>1.0099138943020001</v>
      </c>
      <c r="F269" s="11"/>
      <c r="G269" s="11">
        <v>9.5629660224508211</v>
      </c>
      <c r="H269" s="11"/>
      <c r="I269" s="914">
        <f>+SUM(B270:B$501)</f>
        <v>1152.5646834342836</v>
      </c>
      <c r="J269" s="914">
        <f>+SUM(C270:C$501)</f>
        <v>429.31091098508341</v>
      </c>
      <c r="K269" s="914">
        <f t="shared" si="24"/>
        <v>1581.875594419367</v>
      </c>
      <c r="L269" s="914">
        <f>+SUM(D270:D$501)</f>
        <v>152.50245919379859</v>
      </c>
      <c r="M269" s="914">
        <f>+SUM(E270:E$501)</f>
        <v>5973.6050240487357</v>
      </c>
      <c r="N269" s="914">
        <f>+SUM(F270:F$501)</f>
        <v>14.787032984770802</v>
      </c>
      <c r="O269" s="914">
        <f>+SUM(G270:G$501)</f>
        <v>7722.7701106466693</v>
      </c>
      <c r="P269" s="11">
        <f t="shared" si="25"/>
        <v>1.0099138943020001</v>
      </c>
      <c r="Q269" s="913">
        <f t="shared" si="26"/>
        <v>0</v>
      </c>
      <c r="R269" s="11">
        <f t="shared" si="27"/>
        <v>8.2169454054900004E-2</v>
      </c>
      <c r="S269" s="913">
        <f t="shared" si="28"/>
        <v>75</v>
      </c>
    </row>
    <row r="270" spans="1:19" x14ac:dyDescent="0.2">
      <c r="A270" s="11">
        <f t="shared" si="29"/>
        <v>268</v>
      </c>
      <c r="B270" s="11">
        <v>5.7749906544462402</v>
      </c>
      <c r="C270" s="11"/>
      <c r="D270" s="11">
        <v>1.3701929853399999</v>
      </c>
      <c r="E270" s="11">
        <v>1.9879116973735</v>
      </c>
      <c r="F270" s="11"/>
      <c r="G270" s="11">
        <v>9.133095337159741</v>
      </c>
      <c r="H270" s="11"/>
      <c r="I270" s="914">
        <f>+SUM(B271:B$501)</f>
        <v>1146.7896927798372</v>
      </c>
      <c r="J270" s="914">
        <f>+SUM(C271:C$501)</f>
        <v>429.31091098508341</v>
      </c>
      <c r="K270" s="914">
        <f t="shared" si="24"/>
        <v>1576.1006037649206</v>
      </c>
      <c r="L270" s="914">
        <f>+SUM(D271:D$501)</f>
        <v>151.13226620845859</v>
      </c>
      <c r="M270" s="914">
        <f>+SUM(E271:E$501)</f>
        <v>5971.6171123513623</v>
      </c>
      <c r="N270" s="914">
        <f>+SUM(F271:F$501)</f>
        <v>14.787032984770802</v>
      </c>
      <c r="O270" s="914">
        <f>+SUM(G271:G$501)</f>
        <v>7713.6370153095095</v>
      </c>
      <c r="P270" s="11">
        <f t="shared" si="25"/>
        <v>1.9879116973735</v>
      </c>
      <c r="Q270" s="913">
        <f t="shared" si="26"/>
        <v>0</v>
      </c>
      <c r="R270" s="11">
        <f t="shared" si="27"/>
        <v>8.2169454054900004E-2</v>
      </c>
      <c r="S270" s="913">
        <f t="shared" si="28"/>
        <v>74</v>
      </c>
    </row>
    <row r="271" spans="1:19" x14ac:dyDescent="0.2">
      <c r="A271" s="11">
        <f t="shared" si="29"/>
        <v>269</v>
      </c>
      <c r="B271" s="11">
        <v>4.3987715788618997</v>
      </c>
      <c r="C271" s="11"/>
      <c r="D271" s="11">
        <v>0.80641146907194006</v>
      </c>
      <c r="E271" s="11">
        <v>3.1152869677349999</v>
      </c>
      <c r="F271" s="11"/>
      <c r="G271" s="11">
        <v>8.3204700156688389</v>
      </c>
      <c r="H271" s="11"/>
      <c r="I271" s="914">
        <f>+SUM(B272:B$501)</f>
        <v>1142.3909212009753</v>
      </c>
      <c r="J271" s="914">
        <f>+SUM(C272:C$501)</f>
        <v>429.31091098508341</v>
      </c>
      <c r="K271" s="914">
        <f t="shared" si="24"/>
        <v>1571.7018321860587</v>
      </c>
      <c r="L271" s="914">
        <f>+SUM(D272:D$501)</f>
        <v>150.32585473938664</v>
      </c>
      <c r="M271" s="914">
        <f>+SUM(E272:E$501)</f>
        <v>5968.501825383627</v>
      </c>
      <c r="N271" s="914">
        <f>+SUM(F272:F$501)</f>
        <v>14.787032984770802</v>
      </c>
      <c r="O271" s="914">
        <f>+SUM(G272:G$501)</f>
        <v>7705.3165452938401</v>
      </c>
      <c r="P271" s="11">
        <f t="shared" si="25"/>
        <v>3.1152869677349999</v>
      </c>
      <c r="Q271" s="913">
        <f t="shared" si="26"/>
        <v>0</v>
      </c>
      <c r="R271" s="11">
        <f t="shared" si="27"/>
        <v>8.2169454054900004E-2</v>
      </c>
      <c r="S271" s="913">
        <f t="shared" si="28"/>
        <v>73</v>
      </c>
    </row>
    <row r="272" spans="1:19" x14ac:dyDescent="0.2">
      <c r="A272" s="11">
        <f t="shared" si="29"/>
        <v>270</v>
      </c>
      <c r="B272" s="11">
        <v>3.1407719964687475</v>
      </c>
      <c r="C272" s="11"/>
      <c r="D272" s="11">
        <v>1.0620000963339999</v>
      </c>
      <c r="E272" s="11">
        <v>2.9990569279370001</v>
      </c>
      <c r="F272" s="11"/>
      <c r="G272" s="11">
        <v>7.2018290207397477</v>
      </c>
      <c r="H272" s="11"/>
      <c r="I272" s="914">
        <f>+SUM(B273:B$501)</f>
        <v>1139.2501492045064</v>
      </c>
      <c r="J272" s="914">
        <f>+SUM(C273:C$501)</f>
        <v>429.31091098508341</v>
      </c>
      <c r="K272" s="914">
        <f t="shared" si="24"/>
        <v>1568.5610601895899</v>
      </c>
      <c r="L272" s="914">
        <f>+SUM(D273:D$501)</f>
        <v>149.26385464305264</v>
      </c>
      <c r="M272" s="914">
        <f>+SUM(E273:E$501)</f>
        <v>5965.5027684556908</v>
      </c>
      <c r="N272" s="914">
        <f>+SUM(F273:F$501)</f>
        <v>14.787032984770802</v>
      </c>
      <c r="O272" s="914">
        <f>+SUM(G273:G$501)</f>
        <v>7698.1147162731004</v>
      </c>
      <c r="P272" s="11">
        <f t="shared" si="25"/>
        <v>2.9990569279370001</v>
      </c>
      <c r="Q272" s="913">
        <f t="shared" si="26"/>
        <v>0</v>
      </c>
      <c r="R272" s="11">
        <f t="shared" si="27"/>
        <v>8.2169454054900004E-2</v>
      </c>
      <c r="S272" s="913">
        <f t="shared" si="28"/>
        <v>72</v>
      </c>
    </row>
    <row r="273" spans="1:19" x14ac:dyDescent="0.2">
      <c r="A273" s="11">
        <f t="shared" si="29"/>
        <v>271</v>
      </c>
      <c r="B273" s="11">
        <v>3.622831812653442</v>
      </c>
      <c r="C273" s="11"/>
      <c r="D273" s="11">
        <v>0.138453975073</v>
      </c>
      <c r="E273" s="11">
        <v>2.853801569731</v>
      </c>
      <c r="F273" s="11"/>
      <c r="G273" s="11">
        <v>6.6150873574574423</v>
      </c>
      <c r="H273" s="11"/>
      <c r="I273" s="914">
        <f>+SUM(B274:B$501)</f>
        <v>1135.627317391853</v>
      </c>
      <c r="J273" s="914">
        <f>+SUM(C274:C$501)</f>
        <v>429.31091098508341</v>
      </c>
      <c r="K273" s="914">
        <f t="shared" si="24"/>
        <v>1564.9382283769364</v>
      </c>
      <c r="L273" s="914">
        <f>+SUM(D274:D$501)</f>
        <v>149.12540066797965</v>
      </c>
      <c r="M273" s="914">
        <f>+SUM(E274:E$501)</f>
        <v>5962.6489668859604</v>
      </c>
      <c r="N273" s="914">
        <f>+SUM(F274:F$501)</f>
        <v>14.787032984770802</v>
      </c>
      <c r="O273" s="914">
        <f>+SUM(G274:G$501)</f>
        <v>7691.4996289156434</v>
      </c>
      <c r="P273" s="11">
        <f t="shared" si="25"/>
        <v>2.853801569731</v>
      </c>
      <c r="Q273" s="913">
        <f t="shared" si="26"/>
        <v>0</v>
      </c>
      <c r="R273" s="11">
        <f t="shared" si="27"/>
        <v>8.2169454054900004E-2</v>
      </c>
      <c r="S273" s="913">
        <f t="shared" si="28"/>
        <v>71</v>
      </c>
    </row>
    <row r="274" spans="1:19" x14ac:dyDescent="0.2">
      <c r="A274" s="11">
        <f t="shared" si="29"/>
        <v>272</v>
      </c>
      <c r="B274" s="11">
        <v>5.0154557413723992</v>
      </c>
      <c r="C274" s="11"/>
      <c r="D274" s="11"/>
      <c r="E274" s="11">
        <v>1.7206608518115989</v>
      </c>
      <c r="F274" s="11"/>
      <c r="G274" s="11">
        <v>6.7361165931839979</v>
      </c>
      <c r="H274" s="11"/>
      <c r="I274" s="914">
        <f>+SUM(B275:B$501)</f>
        <v>1130.6118616504805</v>
      </c>
      <c r="J274" s="914">
        <f>+SUM(C275:C$501)</f>
        <v>429.31091098508341</v>
      </c>
      <c r="K274" s="914">
        <f t="shared" si="24"/>
        <v>1559.9227726355639</v>
      </c>
      <c r="L274" s="914">
        <f>+SUM(D275:D$501)</f>
        <v>149.12540066797965</v>
      </c>
      <c r="M274" s="914">
        <f>+SUM(E275:E$501)</f>
        <v>5960.9283060341486</v>
      </c>
      <c r="N274" s="914">
        <f>+SUM(F275:F$501)</f>
        <v>14.787032984770802</v>
      </c>
      <c r="O274" s="914">
        <f>+SUM(G275:G$501)</f>
        <v>7684.7635123224582</v>
      </c>
      <c r="P274" s="11">
        <f t="shared" si="25"/>
        <v>1.7206608518115989</v>
      </c>
      <c r="Q274" s="913">
        <f t="shared" si="26"/>
        <v>0</v>
      </c>
      <c r="R274" s="11">
        <f t="shared" si="27"/>
        <v>8.2169454054900004E-2</v>
      </c>
      <c r="S274" s="913">
        <f t="shared" si="28"/>
        <v>70</v>
      </c>
    </row>
    <row r="275" spans="1:19" x14ac:dyDescent="0.2">
      <c r="A275" s="11">
        <f t="shared" si="29"/>
        <v>273</v>
      </c>
      <c r="B275" s="11">
        <v>4.1611646601873495</v>
      </c>
      <c r="C275" s="11"/>
      <c r="D275" s="11">
        <v>1.063188700685</v>
      </c>
      <c r="E275" s="11">
        <v>1.911601941</v>
      </c>
      <c r="F275" s="11"/>
      <c r="G275" s="11">
        <v>7.1359553018723494</v>
      </c>
      <c r="H275" s="11"/>
      <c r="I275" s="914">
        <f>+SUM(B276:B$501)</f>
        <v>1126.4506969902934</v>
      </c>
      <c r="J275" s="914">
        <f>+SUM(C276:C$501)</f>
        <v>429.31091098508341</v>
      </c>
      <c r="K275" s="914">
        <f t="shared" si="24"/>
        <v>1555.7616079753768</v>
      </c>
      <c r="L275" s="914">
        <f>+SUM(D276:D$501)</f>
        <v>148.06221196729464</v>
      </c>
      <c r="M275" s="914">
        <f>+SUM(E276:E$501)</f>
        <v>5959.0167040931474</v>
      </c>
      <c r="N275" s="914">
        <f>+SUM(F276:F$501)</f>
        <v>14.787032984770802</v>
      </c>
      <c r="O275" s="914">
        <f>+SUM(G276:G$501)</f>
        <v>7677.6275570205862</v>
      </c>
      <c r="P275" s="11">
        <f t="shared" si="25"/>
        <v>1.911601941</v>
      </c>
      <c r="Q275" s="913">
        <f t="shared" si="26"/>
        <v>0</v>
      </c>
      <c r="R275" s="11">
        <f t="shared" si="27"/>
        <v>8.2169454054900004E-2</v>
      </c>
      <c r="S275" s="913">
        <f t="shared" si="28"/>
        <v>69</v>
      </c>
    </row>
    <row r="276" spans="1:19" x14ac:dyDescent="0.2">
      <c r="A276" s="11">
        <f t="shared" si="29"/>
        <v>274</v>
      </c>
      <c r="B276" s="11">
        <v>4.0440455275546006</v>
      </c>
      <c r="C276" s="11"/>
      <c r="D276" s="11">
        <v>0.74699843362270002</v>
      </c>
      <c r="E276" s="11">
        <v>2.9280077995220002</v>
      </c>
      <c r="F276" s="11"/>
      <c r="G276" s="11">
        <v>7.7190517606993012</v>
      </c>
      <c r="H276" s="11"/>
      <c r="I276" s="914">
        <f>+SUM(B277:B$501)</f>
        <v>1122.4066514627386</v>
      </c>
      <c r="J276" s="914">
        <f>+SUM(C277:C$501)</f>
        <v>429.31091098508341</v>
      </c>
      <c r="K276" s="914">
        <f t="shared" si="24"/>
        <v>1551.717562447822</v>
      </c>
      <c r="L276" s="914">
        <f>+SUM(D277:D$501)</f>
        <v>147.31521353367194</v>
      </c>
      <c r="M276" s="914">
        <f>+SUM(E277:E$501)</f>
        <v>5956.0886962936265</v>
      </c>
      <c r="N276" s="914">
        <f>+SUM(F277:F$501)</f>
        <v>14.787032984770802</v>
      </c>
      <c r="O276" s="914">
        <f>+SUM(G277:G$501)</f>
        <v>7669.9085052598866</v>
      </c>
      <c r="P276" s="11">
        <f t="shared" si="25"/>
        <v>2.9280077995220002</v>
      </c>
      <c r="Q276" s="913">
        <f t="shared" si="26"/>
        <v>0</v>
      </c>
      <c r="R276" s="11">
        <f t="shared" si="27"/>
        <v>8.2169454054900004E-2</v>
      </c>
      <c r="S276" s="913">
        <f t="shared" si="28"/>
        <v>68</v>
      </c>
    </row>
    <row r="277" spans="1:19" x14ac:dyDescent="0.2">
      <c r="A277" s="11">
        <f t="shared" si="29"/>
        <v>275</v>
      </c>
      <c r="B277" s="11">
        <v>4.3441922593369995</v>
      </c>
      <c r="C277" s="11"/>
      <c r="D277" s="11">
        <v>0.60331964320256004</v>
      </c>
      <c r="E277" s="11">
        <v>3.6176713317519997</v>
      </c>
      <c r="F277" s="11"/>
      <c r="G277" s="11">
        <v>8.5651832342915597</v>
      </c>
      <c r="H277" s="11"/>
      <c r="I277" s="914">
        <f>+SUM(B278:B$501)</f>
        <v>1118.0624592034017</v>
      </c>
      <c r="J277" s="914">
        <f>+SUM(C278:C$501)</f>
        <v>429.31091098508341</v>
      </c>
      <c r="K277" s="914">
        <f t="shared" si="24"/>
        <v>1547.3733701884851</v>
      </c>
      <c r="L277" s="914">
        <f>+SUM(D278:D$501)</f>
        <v>146.71189389046938</v>
      </c>
      <c r="M277" s="914">
        <f>+SUM(E278:E$501)</f>
        <v>5952.4710249618738</v>
      </c>
      <c r="N277" s="914">
        <f>+SUM(F278:F$501)</f>
        <v>14.787032984770802</v>
      </c>
      <c r="O277" s="914">
        <f>+SUM(G278:G$501)</f>
        <v>7661.3433220255947</v>
      </c>
      <c r="P277" s="11">
        <f t="shared" si="25"/>
        <v>3.6176713317519997</v>
      </c>
      <c r="Q277" s="913">
        <f t="shared" si="26"/>
        <v>0</v>
      </c>
      <c r="R277" s="11">
        <f t="shared" si="27"/>
        <v>8.2169454054900004E-2</v>
      </c>
      <c r="S277" s="913">
        <f t="shared" si="28"/>
        <v>67</v>
      </c>
    </row>
    <row r="278" spans="1:19" x14ac:dyDescent="0.2">
      <c r="A278" s="11">
        <f t="shared" si="29"/>
        <v>276</v>
      </c>
      <c r="B278" s="11">
        <v>5.4283244964871598</v>
      </c>
      <c r="C278" s="11"/>
      <c r="D278" s="11">
        <v>2.0842882957500004</v>
      </c>
      <c r="E278" s="11">
        <v>2.4671359865667002</v>
      </c>
      <c r="F278" s="11"/>
      <c r="G278" s="11">
        <v>9.9797487788038595</v>
      </c>
      <c r="H278" s="11"/>
      <c r="I278" s="914">
        <f>+SUM(B279:B$501)</f>
        <v>1112.6341347069144</v>
      </c>
      <c r="J278" s="914">
        <f>+SUM(C279:C$501)</f>
        <v>429.31091098508341</v>
      </c>
      <c r="K278" s="914">
        <f t="shared" si="24"/>
        <v>1541.9450456919978</v>
      </c>
      <c r="L278" s="914">
        <f>+SUM(D279:D$501)</f>
        <v>144.6276055947194</v>
      </c>
      <c r="M278" s="914">
        <f>+SUM(E279:E$501)</f>
        <v>5950.0038889753077</v>
      </c>
      <c r="N278" s="914">
        <f>+SUM(F279:F$501)</f>
        <v>14.787032984770802</v>
      </c>
      <c r="O278" s="914">
        <f>+SUM(G279:G$501)</f>
        <v>7651.363573246791</v>
      </c>
      <c r="P278" s="11">
        <f t="shared" si="25"/>
        <v>2.4671359865667002</v>
      </c>
      <c r="Q278" s="913">
        <f t="shared" si="26"/>
        <v>0</v>
      </c>
      <c r="R278" s="11">
        <f t="shared" si="27"/>
        <v>8.2169454054900004E-2</v>
      </c>
      <c r="S278" s="913">
        <f t="shared" si="28"/>
        <v>66</v>
      </c>
    </row>
    <row r="279" spans="1:19" x14ac:dyDescent="0.2">
      <c r="A279" s="11">
        <f t="shared" si="29"/>
        <v>277</v>
      </c>
      <c r="B279" s="11">
        <v>5.0357881350250997</v>
      </c>
      <c r="C279" s="11"/>
      <c r="D279" s="11">
        <v>3.6361401507309998</v>
      </c>
      <c r="E279" s="11">
        <v>1.7305340898349999</v>
      </c>
      <c r="F279" s="11"/>
      <c r="G279" s="11">
        <v>10.402462375591099</v>
      </c>
      <c r="H279" s="11"/>
      <c r="I279" s="914">
        <f>+SUM(B280:B$501)</f>
        <v>1107.5983465718891</v>
      </c>
      <c r="J279" s="914">
        <f>+SUM(C280:C$501)</f>
        <v>429.31091098508341</v>
      </c>
      <c r="K279" s="914">
        <f t="shared" si="24"/>
        <v>1536.9092575569725</v>
      </c>
      <c r="L279" s="914">
        <f>+SUM(D280:D$501)</f>
        <v>140.9914654439884</v>
      </c>
      <c r="M279" s="914">
        <f>+SUM(E280:E$501)</f>
        <v>5948.2733548854731</v>
      </c>
      <c r="N279" s="914">
        <f>+SUM(F280:F$501)</f>
        <v>14.787032984770802</v>
      </c>
      <c r="O279" s="914">
        <f>+SUM(G280:G$501)</f>
        <v>7640.9611108712006</v>
      </c>
      <c r="P279" s="11">
        <f t="shared" si="25"/>
        <v>1.7305340898349999</v>
      </c>
      <c r="Q279" s="913">
        <f t="shared" si="26"/>
        <v>0</v>
      </c>
      <c r="R279" s="11">
        <f t="shared" si="27"/>
        <v>8.2169454054900004E-2</v>
      </c>
      <c r="S279" s="913">
        <f t="shared" si="28"/>
        <v>65</v>
      </c>
    </row>
    <row r="280" spans="1:19" x14ac:dyDescent="0.2">
      <c r="A280" s="11">
        <f t="shared" si="29"/>
        <v>278</v>
      </c>
      <c r="B280" s="11">
        <v>4.2738374963519998</v>
      </c>
      <c r="C280" s="11"/>
      <c r="D280" s="11">
        <v>5.2652360733879995</v>
      </c>
      <c r="E280" s="11">
        <v>1.4873841136613299</v>
      </c>
      <c r="F280" s="11"/>
      <c r="G280" s="11">
        <v>11.026457683401329</v>
      </c>
      <c r="H280" s="11"/>
      <c r="I280" s="914">
        <f>+SUM(B281:B$501)</f>
        <v>1103.324509075537</v>
      </c>
      <c r="J280" s="914">
        <f>+SUM(C281:C$501)</f>
        <v>429.31091098508341</v>
      </c>
      <c r="K280" s="914">
        <f t="shared" si="24"/>
        <v>1532.6354200606204</v>
      </c>
      <c r="L280" s="914">
        <f>+SUM(D281:D$501)</f>
        <v>135.72622937060038</v>
      </c>
      <c r="M280" s="914">
        <f>+SUM(E281:E$501)</f>
        <v>5946.7859707718117</v>
      </c>
      <c r="N280" s="914">
        <f>+SUM(F281:F$501)</f>
        <v>14.787032984770802</v>
      </c>
      <c r="O280" s="914">
        <f>+SUM(G281:G$501)</f>
        <v>7629.9346531877991</v>
      </c>
      <c r="P280" s="11">
        <f t="shared" si="25"/>
        <v>1.4873841136613299</v>
      </c>
      <c r="Q280" s="913">
        <f t="shared" si="26"/>
        <v>0</v>
      </c>
      <c r="R280" s="11">
        <f t="shared" si="27"/>
        <v>8.2169454054900004E-2</v>
      </c>
      <c r="S280" s="913">
        <f t="shared" si="28"/>
        <v>64</v>
      </c>
    </row>
    <row r="281" spans="1:19" x14ac:dyDescent="0.2">
      <c r="A281" s="11">
        <f t="shared" si="29"/>
        <v>279</v>
      </c>
      <c r="B281" s="11">
        <v>3.0796962886610002</v>
      </c>
      <c r="C281" s="11">
        <v>3.5650804275500002E-4</v>
      </c>
      <c r="D281" s="11">
        <v>5.9610338936927008</v>
      </c>
      <c r="E281" s="11">
        <v>2.4547774120139869</v>
      </c>
      <c r="F281" s="11"/>
      <c r="G281" s="11">
        <v>11.495864102410444</v>
      </c>
      <c r="H281" s="11"/>
      <c r="I281" s="914">
        <f>+SUM(B282:B$501)</f>
        <v>1100.2448127868761</v>
      </c>
      <c r="J281" s="914">
        <f>+SUM(C282:C$501)</f>
        <v>429.31055447704068</v>
      </c>
      <c r="K281" s="914">
        <f t="shared" si="24"/>
        <v>1529.5553672639167</v>
      </c>
      <c r="L281" s="914">
        <f>+SUM(D282:D$501)</f>
        <v>129.76519547690762</v>
      </c>
      <c r="M281" s="914">
        <f>+SUM(E282:E$501)</f>
        <v>5944.331193359797</v>
      </c>
      <c r="N281" s="914">
        <f>+SUM(F282:F$501)</f>
        <v>14.787032984770802</v>
      </c>
      <c r="O281" s="914">
        <f>+SUM(G282:G$501)</f>
        <v>7618.4387890853877</v>
      </c>
      <c r="P281" s="11">
        <f t="shared" si="25"/>
        <v>2.4547774120139869</v>
      </c>
      <c r="Q281" s="913">
        <f t="shared" si="26"/>
        <v>0</v>
      </c>
      <c r="R281" s="11">
        <f t="shared" si="27"/>
        <v>8.2169454054900004E-2</v>
      </c>
      <c r="S281" s="913">
        <f t="shared" si="28"/>
        <v>63</v>
      </c>
    </row>
    <row r="282" spans="1:19" x14ac:dyDescent="0.2">
      <c r="A282" s="11">
        <f t="shared" si="29"/>
        <v>280</v>
      </c>
      <c r="B282" s="11">
        <v>5.5470829750450994</v>
      </c>
      <c r="C282" s="11">
        <v>0.27193037176200002</v>
      </c>
      <c r="D282" s="11">
        <v>1.533910615131</v>
      </c>
      <c r="E282" s="11">
        <v>2.7038980144304698</v>
      </c>
      <c r="F282" s="11"/>
      <c r="G282" s="11">
        <v>10.056821976368569</v>
      </c>
      <c r="H282" s="11"/>
      <c r="I282" s="914">
        <f>+SUM(B283:B$501)</f>
        <v>1094.6977298118306</v>
      </c>
      <c r="J282" s="914">
        <f>+SUM(C283:C$501)</f>
        <v>429.0386241052787</v>
      </c>
      <c r="K282" s="914">
        <f t="shared" si="24"/>
        <v>1523.7363539171092</v>
      </c>
      <c r="L282" s="914">
        <f>+SUM(D283:D$501)</f>
        <v>128.23128486177663</v>
      </c>
      <c r="M282" s="914">
        <f>+SUM(E283:E$501)</f>
        <v>5941.6272953453672</v>
      </c>
      <c r="N282" s="914">
        <f>+SUM(F283:F$501)</f>
        <v>14.787032984770802</v>
      </c>
      <c r="O282" s="914">
        <f>+SUM(G283:G$501)</f>
        <v>7608.3819671090196</v>
      </c>
      <c r="P282" s="11">
        <f t="shared" si="25"/>
        <v>2.7038980144304698</v>
      </c>
      <c r="Q282" s="913">
        <f t="shared" si="26"/>
        <v>0</v>
      </c>
      <c r="R282" s="11">
        <f t="shared" si="27"/>
        <v>8.2169454054900004E-2</v>
      </c>
      <c r="S282" s="913">
        <f t="shared" si="28"/>
        <v>62</v>
      </c>
    </row>
    <row r="283" spans="1:19" x14ac:dyDescent="0.2">
      <c r="A283" s="11">
        <f t="shared" si="29"/>
        <v>281</v>
      </c>
      <c r="B283" s="11">
        <v>9.4074989787423977</v>
      </c>
      <c r="C283" s="11">
        <v>5.6747464108299998E-2</v>
      </c>
      <c r="D283" s="11">
        <v>5.7525950583899997E-2</v>
      </c>
      <c r="E283" s="11">
        <v>1.5380044268000002</v>
      </c>
      <c r="F283" s="11"/>
      <c r="G283" s="11">
        <v>11.059776820234598</v>
      </c>
      <c r="H283" s="11"/>
      <c r="I283" s="914">
        <f>+SUM(B284:B$501)</f>
        <v>1085.2902308330883</v>
      </c>
      <c r="J283" s="914">
        <f>+SUM(C284:C$501)</f>
        <v>428.9818766411704</v>
      </c>
      <c r="K283" s="914">
        <f t="shared" si="24"/>
        <v>1514.2721074742587</v>
      </c>
      <c r="L283" s="914">
        <f>+SUM(D284:D$501)</f>
        <v>128.17375891119272</v>
      </c>
      <c r="M283" s="914">
        <f>+SUM(E284:E$501)</f>
        <v>5940.0892909185668</v>
      </c>
      <c r="N283" s="914">
        <f>+SUM(F284:F$501)</f>
        <v>14.787032984770802</v>
      </c>
      <c r="O283" s="914">
        <f>+SUM(G284:G$501)</f>
        <v>7597.3221902887863</v>
      </c>
      <c r="P283" s="11">
        <f t="shared" si="25"/>
        <v>1.5380044268000002</v>
      </c>
      <c r="Q283" s="913">
        <f t="shared" si="26"/>
        <v>0</v>
      </c>
      <c r="R283" s="11">
        <f t="shared" si="27"/>
        <v>8.2169454054900004E-2</v>
      </c>
      <c r="S283" s="913">
        <f t="shared" si="28"/>
        <v>61</v>
      </c>
    </row>
    <row r="284" spans="1:19" x14ac:dyDescent="0.2">
      <c r="A284" s="11">
        <f t="shared" si="29"/>
        <v>282</v>
      </c>
      <c r="B284" s="11">
        <v>8.6175934280443798</v>
      </c>
      <c r="C284" s="11"/>
      <c r="D284" s="11">
        <v>1.1200810911299999E-2</v>
      </c>
      <c r="E284" s="11">
        <v>3.549865162053</v>
      </c>
      <c r="F284" s="11"/>
      <c r="G284" s="11">
        <v>12.17865940100868</v>
      </c>
      <c r="H284" s="11"/>
      <c r="I284" s="914">
        <f>+SUM(B285:B$501)</f>
        <v>1076.6726374050438</v>
      </c>
      <c r="J284" s="914">
        <f>+SUM(C285:C$501)</f>
        <v>428.9818766411704</v>
      </c>
      <c r="K284" s="914">
        <f t="shared" si="24"/>
        <v>1505.6545140462142</v>
      </c>
      <c r="L284" s="914">
        <f>+SUM(D285:D$501)</f>
        <v>128.16255810028144</v>
      </c>
      <c r="M284" s="914">
        <f>+SUM(E285:E$501)</f>
        <v>5936.539425756514</v>
      </c>
      <c r="N284" s="914">
        <f>+SUM(F285:F$501)</f>
        <v>14.787032984770802</v>
      </c>
      <c r="O284" s="914">
        <f>+SUM(G285:G$501)</f>
        <v>7585.1435308877763</v>
      </c>
      <c r="P284" s="11">
        <f t="shared" si="25"/>
        <v>3.549865162053</v>
      </c>
      <c r="Q284" s="913">
        <f t="shared" si="26"/>
        <v>0</v>
      </c>
      <c r="R284" s="11">
        <f t="shared" si="27"/>
        <v>8.2169454054900004E-2</v>
      </c>
      <c r="S284" s="913">
        <f t="shared" si="28"/>
        <v>60</v>
      </c>
    </row>
    <row r="285" spans="1:19" x14ac:dyDescent="0.2">
      <c r="A285" s="11">
        <f t="shared" si="29"/>
        <v>283</v>
      </c>
      <c r="B285" s="11">
        <v>13.236326735458299</v>
      </c>
      <c r="C285" s="11">
        <v>0.37577005327099999</v>
      </c>
      <c r="D285" s="11">
        <v>2.4253900377499998E-2</v>
      </c>
      <c r="E285" s="11">
        <v>2.095296916428</v>
      </c>
      <c r="F285" s="11"/>
      <c r="G285" s="11">
        <v>15.731647605534798</v>
      </c>
      <c r="H285" s="11"/>
      <c r="I285" s="914">
        <f>+SUM(B286:B$501)</f>
        <v>1063.4363106695857</v>
      </c>
      <c r="J285" s="914">
        <f>+SUM(C286:C$501)</f>
        <v>428.60610658789938</v>
      </c>
      <c r="K285" s="914">
        <f t="shared" si="24"/>
        <v>1492.0424172574851</v>
      </c>
      <c r="L285" s="914">
        <f>+SUM(D286:D$501)</f>
        <v>128.13830419990393</v>
      </c>
      <c r="M285" s="914">
        <f>+SUM(E286:E$501)</f>
        <v>5934.4441288400858</v>
      </c>
      <c r="N285" s="914">
        <f>+SUM(F286:F$501)</f>
        <v>14.787032984770802</v>
      </c>
      <c r="O285" s="914">
        <f>+SUM(G286:G$501)</f>
        <v>7569.4118832822414</v>
      </c>
      <c r="P285" s="11">
        <f t="shared" si="25"/>
        <v>2.095296916428</v>
      </c>
      <c r="Q285" s="913">
        <f t="shared" si="26"/>
        <v>0</v>
      </c>
      <c r="R285" s="11">
        <f t="shared" si="27"/>
        <v>8.2169454054900004E-2</v>
      </c>
      <c r="S285" s="913">
        <f t="shared" si="28"/>
        <v>59</v>
      </c>
    </row>
    <row r="286" spans="1:19" x14ac:dyDescent="0.2">
      <c r="A286" s="11">
        <f t="shared" si="29"/>
        <v>284</v>
      </c>
      <c r="B286" s="11">
        <v>12.852390464357031</v>
      </c>
      <c r="C286" s="11"/>
      <c r="D286" s="11">
        <v>0.1277442279038965</v>
      </c>
      <c r="E286" s="11">
        <v>4.4374199659329996</v>
      </c>
      <c r="F286" s="11"/>
      <c r="G286" s="11">
        <v>17.417554658193929</v>
      </c>
      <c r="H286" s="11"/>
      <c r="I286" s="914">
        <f>+SUM(B287:B$501)</f>
        <v>1050.5839202052287</v>
      </c>
      <c r="J286" s="914">
        <f>+SUM(C287:C$501)</f>
        <v>428.60610658789938</v>
      </c>
      <c r="K286" s="914">
        <f t="shared" si="24"/>
        <v>1479.190026793128</v>
      </c>
      <c r="L286" s="914">
        <f>+SUM(D287:D$501)</f>
        <v>128.01055997200004</v>
      </c>
      <c r="M286" s="914">
        <f>+SUM(E287:E$501)</f>
        <v>5930.0067088741534</v>
      </c>
      <c r="N286" s="914">
        <f>+SUM(F287:F$501)</f>
        <v>14.787032984770802</v>
      </c>
      <c r="O286" s="914">
        <f>+SUM(G287:G$501)</f>
        <v>7551.9943286240477</v>
      </c>
      <c r="P286" s="11">
        <f t="shared" si="25"/>
        <v>4.4374199659329996</v>
      </c>
      <c r="Q286" s="913">
        <f t="shared" si="26"/>
        <v>0</v>
      </c>
      <c r="R286" s="11">
        <f t="shared" si="27"/>
        <v>8.2169454054900004E-2</v>
      </c>
      <c r="S286" s="913">
        <f t="shared" si="28"/>
        <v>58</v>
      </c>
    </row>
    <row r="287" spans="1:19" x14ac:dyDescent="0.2">
      <c r="A287" s="11">
        <f t="shared" si="29"/>
        <v>285</v>
      </c>
      <c r="B287" s="11">
        <v>9.6619049858578006</v>
      </c>
      <c r="C287" s="11"/>
      <c r="D287" s="11">
        <v>2.3113218864395999</v>
      </c>
      <c r="E287" s="11">
        <v>6.0062829447250001</v>
      </c>
      <c r="F287" s="11"/>
      <c r="G287" s="11">
        <v>17.9795098170224</v>
      </c>
      <c r="H287" s="11"/>
      <c r="I287" s="914">
        <f>+SUM(B288:B$501)</f>
        <v>1040.9220152193711</v>
      </c>
      <c r="J287" s="914">
        <f>+SUM(C288:C$501)</f>
        <v>428.60610658789938</v>
      </c>
      <c r="K287" s="914">
        <f t="shared" si="24"/>
        <v>1469.5281218072705</v>
      </c>
      <c r="L287" s="914">
        <f>+SUM(D288:D$501)</f>
        <v>125.69923808556044</v>
      </c>
      <c r="M287" s="914">
        <f>+SUM(E288:E$501)</f>
        <v>5924.0004259294283</v>
      </c>
      <c r="N287" s="914">
        <f>+SUM(F288:F$501)</f>
        <v>14.787032984770802</v>
      </c>
      <c r="O287" s="914">
        <f>+SUM(G288:G$501)</f>
        <v>7534.0148188070261</v>
      </c>
      <c r="P287" s="11">
        <f t="shared" si="25"/>
        <v>6.0062829447250001</v>
      </c>
      <c r="Q287" s="913">
        <f t="shared" si="26"/>
        <v>0</v>
      </c>
      <c r="R287" s="11">
        <f t="shared" si="27"/>
        <v>8.2169454054900004E-2</v>
      </c>
      <c r="S287" s="913">
        <f t="shared" si="28"/>
        <v>57</v>
      </c>
    </row>
    <row r="288" spans="1:19" x14ac:dyDescent="0.2">
      <c r="A288" s="11">
        <f t="shared" si="29"/>
        <v>286</v>
      </c>
      <c r="B288" s="11">
        <v>3.9932418090318897</v>
      </c>
      <c r="C288" s="11"/>
      <c r="D288" s="11">
        <v>1.37946196056</v>
      </c>
      <c r="E288" s="11">
        <v>8.6120445896529905</v>
      </c>
      <c r="F288" s="11"/>
      <c r="G288" s="11">
        <v>13.984748359244881</v>
      </c>
      <c r="H288" s="11"/>
      <c r="I288" s="914">
        <f>+SUM(B289:B$501)</f>
        <v>1036.9287734103393</v>
      </c>
      <c r="J288" s="914">
        <f>+SUM(C289:C$501)</f>
        <v>428.60610658789938</v>
      </c>
      <c r="K288" s="914">
        <f t="shared" si="24"/>
        <v>1465.5348799982387</v>
      </c>
      <c r="L288" s="914">
        <f>+SUM(D289:D$501)</f>
        <v>124.31977612500043</v>
      </c>
      <c r="M288" s="914">
        <f>+SUM(E289:E$501)</f>
        <v>5915.3883813397742</v>
      </c>
      <c r="N288" s="914">
        <f>+SUM(F289:F$501)</f>
        <v>14.787032984770802</v>
      </c>
      <c r="O288" s="914">
        <f>+SUM(G289:G$501)</f>
        <v>7520.0300704477804</v>
      </c>
      <c r="P288" s="11">
        <f t="shared" si="25"/>
        <v>8.6120445896529905</v>
      </c>
      <c r="Q288" s="913">
        <f t="shared" si="26"/>
        <v>0</v>
      </c>
      <c r="R288" s="11">
        <f t="shared" si="27"/>
        <v>8.2169454054900004E-2</v>
      </c>
      <c r="S288" s="913">
        <f t="shared" si="28"/>
        <v>56</v>
      </c>
    </row>
    <row r="289" spans="1:19" x14ac:dyDescent="0.2">
      <c r="A289" s="11">
        <f t="shared" si="29"/>
        <v>287</v>
      </c>
      <c r="B289" s="11">
        <v>4.382786399904</v>
      </c>
      <c r="C289" s="11"/>
      <c r="D289" s="11">
        <v>0.27613323668260004</v>
      </c>
      <c r="E289" s="11">
        <v>7.9625172317909998</v>
      </c>
      <c r="F289" s="11"/>
      <c r="G289" s="11">
        <v>12.6214368683776</v>
      </c>
      <c r="H289" s="11"/>
      <c r="I289" s="914">
        <f>+SUM(B290:B$501)</f>
        <v>1032.5459870104353</v>
      </c>
      <c r="J289" s="914">
        <f>+SUM(C290:C$501)</f>
        <v>428.60610658789938</v>
      </c>
      <c r="K289" s="914">
        <f t="shared" si="24"/>
        <v>1461.1520935983347</v>
      </c>
      <c r="L289" s="914">
        <f>+SUM(D290:D$501)</f>
        <v>124.04364288831783</v>
      </c>
      <c r="M289" s="914">
        <f>+SUM(E290:E$501)</f>
        <v>5907.4258641079841</v>
      </c>
      <c r="N289" s="914">
        <f>+SUM(F290:F$501)</f>
        <v>14.787032984770802</v>
      </c>
      <c r="O289" s="914">
        <f>+SUM(G290:G$501)</f>
        <v>7507.4086335794027</v>
      </c>
      <c r="P289" s="11">
        <f t="shared" si="25"/>
        <v>7.9625172317909998</v>
      </c>
      <c r="Q289" s="913">
        <f t="shared" si="26"/>
        <v>0</v>
      </c>
      <c r="R289" s="11">
        <f t="shared" si="27"/>
        <v>8.2169454054900004E-2</v>
      </c>
      <c r="S289" s="913">
        <f t="shared" si="28"/>
        <v>55</v>
      </c>
    </row>
    <row r="290" spans="1:19" x14ac:dyDescent="0.2">
      <c r="A290" s="11">
        <f t="shared" si="29"/>
        <v>288</v>
      </c>
      <c r="B290" s="11">
        <v>8.1289761242988003</v>
      </c>
      <c r="C290" s="11">
        <v>0.224695289066</v>
      </c>
      <c r="D290" s="11">
        <v>0.79326025190899996</v>
      </c>
      <c r="E290" s="11">
        <v>3.4726614080439999</v>
      </c>
      <c r="F290" s="11"/>
      <c r="G290" s="11">
        <v>12.619593073317802</v>
      </c>
      <c r="H290" s="11"/>
      <c r="I290" s="914">
        <f>+SUM(B291:B$501)</f>
        <v>1024.4170108861365</v>
      </c>
      <c r="J290" s="914">
        <f>+SUM(C291:C$501)</f>
        <v>428.38141129883331</v>
      </c>
      <c r="K290" s="914">
        <f t="shared" si="24"/>
        <v>1452.7984221849697</v>
      </c>
      <c r="L290" s="914">
        <f>+SUM(D291:D$501)</f>
        <v>123.25038263640883</v>
      </c>
      <c r="M290" s="914">
        <f>+SUM(E291:E$501)</f>
        <v>5903.9532026999395</v>
      </c>
      <c r="N290" s="914">
        <f>+SUM(F291:F$501)</f>
        <v>14.787032984770802</v>
      </c>
      <c r="O290" s="914">
        <f>+SUM(G291:G$501)</f>
        <v>7494.7890405060853</v>
      </c>
      <c r="P290" s="11">
        <f t="shared" si="25"/>
        <v>3.4726614080439999</v>
      </c>
      <c r="Q290" s="913">
        <f t="shared" si="26"/>
        <v>0</v>
      </c>
      <c r="R290" s="11">
        <f t="shared" si="27"/>
        <v>8.2169454054900004E-2</v>
      </c>
      <c r="S290" s="913">
        <f t="shared" si="28"/>
        <v>54</v>
      </c>
    </row>
    <row r="291" spans="1:19" x14ac:dyDescent="0.2">
      <c r="A291" s="11">
        <f t="shared" si="29"/>
        <v>289</v>
      </c>
      <c r="B291" s="11">
        <v>5.9889515328566194</v>
      </c>
      <c r="C291" s="11">
        <v>1.1210413565794</v>
      </c>
      <c r="D291" s="11">
        <v>0.20772292310820001</v>
      </c>
      <c r="E291" s="11">
        <v>5.6241438323340001</v>
      </c>
      <c r="F291" s="11"/>
      <c r="G291" s="11">
        <v>12.941859644878219</v>
      </c>
      <c r="H291" s="11"/>
      <c r="I291" s="914">
        <f>+SUM(B292:B$501)</f>
        <v>1018.42805935328</v>
      </c>
      <c r="J291" s="914">
        <f>+SUM(C292:C$501)</f>
        <v>427.26036994225399</v>
      </c>
      <c r="K291" s="914">
        <f t="shared" si="24"/>
        <v>1445.688429295534</v>
      </c>
      <c r="L291" s="914">
        <f>+SUM(D292:D$501)</f>
        <v>123.04265971330065</v>
      </c>
      <c r="M291" s="914">
        <f>+SUM(E292:E$501)</f>
        <v>5898.3290588676055</v>
      </c>
      <c r="N291" s="914">
        <f>+SUM(F292:F$501)</f>
        <v>14.787032984770802</v>
      </c>
      <c r="O291" s="914">
        <f>+SUM(G292:G$501)</f>
        <v>7481.8471808612076</v>
      </c>
      <c r="P291" s="11">
        <f t="shared" si="25"/>
        <v>5.6241438323340001</v>
      </c>
      <c r="Q291" s="913">
        <f t="shared" si="26"/>
        <v>0</v>
      </c>
      <c r="R291" s="11">
        <f t="shared" si="27"/>
        <v>8.2169454054900004E-2</v>
      </c>
      <c r="S291" s="913">
        <f t="shared" si="28"/>
        <v>53</v>
      </c>
    </row>
    <row r="292" spans="1:19" x14ac:dyDescent="0.2">
      <c r="A292" s="11">
        <f t="shared" si="29"/>
        <v>290</v>
      </c>
      <c r="B292" s="11">
        <v>9.5482347656917703</v>
      </c>
      <c r="C292" s="11">
        <v>0.85585076303599994</v>
      </c>
      <c r="D292" s="11">
        <v>0.53268602462900005</v>
      </c>
      <c r="E292" s="11">
        <v>4.5091208759712798</v>
      </c>
      <c r="F292" s="11"/>
      <c r="G292" s="11">
        <v>15.445892429328048</v>
      </c>
      <c r="H292" s="11"/>
      <c r="I292" s="914">
        <f>+SUM(B293:B$501)</f>
        <v>1008.8798245875881</v>
      </c>
      <c r="J292" s="914">
        <f>+SUM(C293:C$501)</f>
        <v>426.40451917921791</v>
      </c>
      <c r="K292" s="914">
        <f t="shared" si="24"/>
        <v>1435.2843437668062</v>
      </c>
      <c r="L292" s="914">
        <f>+SUM(D293:D$501)</f>
        <v>122.50997368867164</v>
      </c>
      <c r="M292" s="914">
        <f>+SUM(E293:E$501)</f>
        <v>5893.8199379916341</v>
      </c>
      <c r="N292" s="914">
        <f>+SUM(F293:F$501)</f>
        <v>14.787032984770802</v>
      </c>
      <c r="O292" s="914">
        <f>+SUM(G293:G$501)</f>
        <v>7466.401288431879</v>
      </c>
      <c r="P292" s="11">
        <f t="shared" si="25"/>
        <v>4.5091208759712798</v>
      </c>
      <c r="Q292" s="913">
        <f t="shared" si="26"/>
        <v>0</v>
      </c>
      <c r="R292" s="11">
        <f t="shared" si="27"/>
        <v>8.2169454054900004E-2</v>
      </c>
      <c r="S292" s="913">
        <f t="shared" si="28"/>
        <v>52</v>
      </c>
    </row>
    <row r="293" spans="1:19" x14ac:dyDescent="0.2">
      <c r="A293" s="11">
        <f t="shared" si="29"/>
        <v>291</v>
      </c>
      <c r="B293" s="11">
        <v>14.990286054512765</v>
      </c>
      <c r="C293" s="11">
        <v>0.50403302557999996</v>
      </c>
      <c r="D293" s="11"/>
      <c r="E293" s="11">
        <v>5.1219418122274005</v>
      </c>
      <c r="F293" s="11"/>
      <c r="G293" s="11">
        <v>20.616260892320167</v>
      </c>
      <c r="H293" s="11"/>
      <c r="I293" s="914">
        <f>+SUM(B294:B$501)</f>
        <v>993.88953853307532</v>
      </c>
      <c r="J293" s="914">
        <f>+SUM(C294:C$501)</f>
        <v>425.90048615363798</v>
      </c>
      <c r="K293" s="914">
        <f t="shared" si="24"/>
        <v>1419.7900246867134</v>
      </c>
      <c r="L293" s="914">
        <f>+SUM(D294:D$501)</f>
        <v>122.50997368867164</v>
      </c>
      <c r="M293" s="914">
        <f>+SUM(E294:E$501)</f>
        <v>5888.6979961794068</v>
      </c>
      <c r="N293" s="914">
        <f>+SUM(F294:F$501)</f>
        <v>14.787032984770802</v>
      </c>
      <c r="O293" s="914">
        <f>+SUM(G294:G$501)</f>
        <v>7445.7850275395585</v>
      </c>
      <c r="P293" s="11">
        <f t="shared" si="25"/>
        <v>5.1219418122274005</v>
      </c>
      <c r="Q293" s="913">
        <f t="shared" si="26"/>
        <v>0</v>
      </c>
      <c r="R293" s="11">
        <f t="shared" si="27"/>
        <v>8.2169454054900004E-2</v>
      </c>
      <c r="S293" s="913">
        <f t="shared" si="28"/>
        <v>51</v>
      </c>
    </row>
    <row r="294" spans="1:19" x14ac:dyDescent="0.2">
      <c r="A294" s="11">
        <f t="shared" si="29"/>
        <v>292</v>
      </c>
      <c r="B294" s="11">
        <v>18.16393372267861</v>
      </c>
      <c r="C294" s="11"/>
      <c r="D294" s="11"/>
      <c r="E294" s="11">
        <v>6.1490869650200004</v>
      </c>
      <c r="F294" s="11"/>
      <c r="G294" s="11">
        <v>24.313020687698611</v>
      </c>
      <c r="H294" s="11"/>
      <c r="I294" s="914">
        <f>+SUM(B295:B$501)</f>
        <v>975.72560481039693</v>
      </c>
      <c r="J294" s="914">
        <f>+SUM(C295:C$501)</f>
        <v>425.90048615363798</v>
      </c>
      <c r="K294" s="914">
        <f t="shared" si="24"/>
        <v>1401.626090964035</v>
      </c>
      <c r="L294" s="914">
        <f>+SUM(D295:D$501)</f>
        <v>122.50997368867164</v>
      </c>
      <c r="M294" s="914">
        <f>+SUM(E295:E$501)</f>
        <v>5882.548909214388</v>
      </c>
      <c r="N294" s="914">
        <f>+SUM(F295:F$501)</f>
        <v>14.787032984770802</v>
      </c>
      <c r="O294" s="914">
        <f>+SUM(G295:G$501)</f>
        <v>7421.4720068518609</v>
      </c>
      <c r="P294" s="11">
        <f t="shared" si="25"/>
        <v>6.1490869650200004</v>
      </c>
      <c r="Q294" s="913">
        <f t="shared" si="26"/>
        <v>0</v>
      </c>
      <c r="R294" s="11">
        <f t="shared" si="27"/>
        <v>8.2169454054900004E-2</v>
      </c>
      <c r="S294" s="913">
        <f t="shared" si="28"/>
        <v>50</v>
      </c>
    </row>
    <row r="295" spans="1:19" x14ac:dyDescent="0.2">
      <c r="A295" s="11">
        <f t="shared" si="29"/>
        <v>293</v>
      </c>
      <c r="B295" s="11">
        <v>22.771388544233655</v>
      </c>
      <c r="C295" s="11"/>
      <c r="D295" s="11">
        <v>0.15827762226200001</v>
      </c>
      <c r="E295" s="11">
        <v>8.1336332558334004</v>
      </c>
      <c r="F295" s="11"/>
      <c r="G295" s="11">
        <v>31.063299422329052</v>
      </c>
      <c r="H295" s="11"/>
      <c r="I295" s="914">
        <f>+SUM(B296:B$501)</f>
        <v>952.95421626616314</v>
      </c>
      <c r="J295" s="914">
        <f>+SUM(C296:C$501)</f>
        <v>425.90048615363798</v>
      </c>
      <c r="K295" s="914">
        <f t="shared" si="24"/>
        <v>1378.854702419801</v>
      </c>
      <c r="L295" s="914">
        <f>+SUM(D296:D$501)</f>
        <v>122.35169606640963</v>
      </c>
      <c r="M295" s="914">
        <f>+SUM(E296:E$501)</f>
        <v>5874.4152759585531</v>
      </c>
      <c r="N295" s="914">
        <f>+SUM(F296:F$501)</f>
        <v>14.787032984770802</v>
      </c>
      <c r="O295" s="914">
        <f>+SUM(G296:G$501)</f>
        <v>7390.4087074295321</v>
      </c>
      <c r="P295" s="11">
        <f t="shared" si="25"/>
        <v>8.1336332558334004</v>
      </c>
      <c r="Q295" s="913">
        <f t="shared" si="26"/>
        <v>0</v>
      </c>
      <c r="R295" s="11">
        <f t="shared" si="27"/>
        <v>8.2169454054900004E-2</v>
      </c>
      <c r="S295" s="913">
        <f t="shared" si="28"/>
        <v>49</v>
      </c>
    </row>
    <row r="296" spans="1:19" x14ac:dyDescent="0.2">
      <c r="A296" s="11">
        <f t="shared" si="29"/>
        <v>294</v>
      </c>
      <c r="B296" s="11">
        <v>26.958975432259798</v>
      </c>
      <c r="C296" s="11"/>
      <c r="D296" s="11">
        <v>9.3530335386299998E-2</v>
      </c>
      <c r="E296" s="11">
        <v>7.9547049757549999</v>
      </c>
      <c r="F296" s="11"/>
      <c r="G296" s="11">
        <v>35.007210743401103</v>
      </c>
      <c r="H296" s="11"/>
      <c r="I296" s="914">
        <f>+SUM(B297:B$501)</f>
        <v>925.99524083390327</v>
      </c>
      <c r="J296" s="914">
        <f>+SUM(C297:C$501)</f>
        <v>425.90048615363798</v>
      </c>
      <c r="K296" s="914">
        <f t="shared" si="24"/>
        <v>1351.8957269875414</v>
      </c>
      <c r="L296" s="914">
        <f>+SUM(D297:D$501)</f>
        <v>122.25816573102333</v>
      </c>
      <c r="M296" s="914">
        <f>+SUM(E297:E$501)</f>
        <v>5866.4605709827983</v>
      </c>
      <c r="N296" s="914">
        <f>+SUM(F297:F$501)</f>
        <v>14.787032984770802</v>
      </c>
      <c r="O296" s="914">
        <f>+SUM(G297:G$501)</f>
        <v>7355.4014966861314</v>
      </c>
      <c r="P296" s="11">
        <f t="shared" si="25"/>
        <v>7.9547049757549999</v>
      </c>
      <c r="Q296" s="913">
        <f t="shared" si="26"/>
        <v>0</v>
      </c>
      <c r="R296" s="11">
        <f t="shared" si="27"/>
        <v>8.2169454054900004E-2</v>
      </c>
      <c r="S296" s="913">
        <f t="shared" si="28"/>
        <v>48</v>
      </c>
    </row>
    <row r="297" spans="1:19" x14ac:dyDescent="0.2">
      <c r="A297" s="11">
        <f t="shared" si="29"/>
        <v>295</v>
      </c>
      <c r="B297" s="11">
        <v>22.387529381024954</v>
      </c>
      <c r="C297" s="11"/>
      <c r="D297" s="11">
        <v>0.49785843270269997</v>
      </c>
      <c r="E297" s="11">
        <v>14.228721597619002</v>
      </c>
      <c r="F297" s="11"/>
      <c r="G297" s="11">
        <v>37.114109411346654</v>
      </c>
      <c r="H297" s="11"/>
      <c r="I297" s="914">
        <f>+SUM(B298:B$501)</f>
        <v>903.60771145287833</v>
      </c>
      <c r="J297" s="914">
        <f>+SUM(C298:C$501)</f>
        <v>425.90048615363798</v>
      </c>
      <c r="K297" s="914">
        <f t="shared" si="24"/>
        <v>1329.5081976065162</v>
      </c>
      <c r="L297" s="914">
        <f>+SUM(D298:D$501)</f>
        <v>121.76030729832064</v>
      </c>
      <c r="M297" s="914">
        <f>+SUM(E298:E$501)</f>
        <v>5852.2318493851808</v>
      </c>
      <c r="N297" s="914">
        <f>+SUM(F298:F$501)</f>
        <v>14.787032984770802</v>
      </c>
      <c r="O297" s="914">
        <f>+SUM(G298:G$501)</f>
        <v>7318.287387274785</v>
      </c>
      <c r="P297" s="11">
        <f t="shared" si="25"/>
        <v>14.228721597619002</v>
      </c>
      <c r="Q297" s="913">
        <f t="shared" si="26"/>
        <v>0</v>
      </c>
      <c r="R297" s="11">
        <f t="shared" si="27"/>
        <v>8.2169454054900004E-2</v>
      </c>
      <c r="S297" s="913">
        <f t="shared" si="28"/>
        <v>47</v>
      </c>
    </row>
    <row r="298" spans="1:19" x14ac:dyDescent="0.2">
      <c r="A298" s="11">
        <f t="shared" si="29"/>
        <v>296</v>
      </c>
      <c r="B298" s="11">
        <v>20.754310642230909</v>
      </c>
      <c r="C298" s="11"/>
      <c r="D298" s="11">
        <v>0.22438045736815998</v>
      </c>
      <c r="E298" s="11">
        <v>9.3170006071916092</v>
      </c>
      <c r="F298" s="11"/>
      <c r="G298" s="11">
        <v>30.295691706790677</v>
      </c>
      <c r="H298" s="11"/>
      <c r="I298" s="914">
        <f>+SUM(B299:B$501)</f>
        <v>882.85340081064771</v>
      </c>
      <c r="J298" s="914">
        <f>+SUM(C299:C$501)</f>
        <v>425.90048615363798</v>
      </c>
      <c r="K298" s="914">
        <f t="shared" si="24"/>
        <v>1308.7538869642858</v>
      </c>
      <c r="L298" s="914">
        <f>+SUM(D299:D$501)</f>
        <v>121.53592684095247</v>
      </c>
      <c r="M298" s="914">
        <f>+SUM(E299:E$501)</f>
        <v>5842.9148487779885</v>
      </c>
      <c r="N298" s="914">
        <f>+SUM(F299:F$501)</f>
        <v>14.787032984770802</v>
      </c>
      <c r="O298" s="914">
        <f>+SUM(G299:G$501)</f>
        <v>7287.9916955679937</v>
      </c>
      <c r="P298" s="11">
        <f t="shared" si="25"/>
        <v>9.3170006071916092</v>
      </c>
      <c r="Q298" s="913">
        <f t="shared" si="26"/>
        <v>0</v>
      </c>
      <c r="R298" s="11">
        <f t="shared" si="27"/>
        <v>8.2169454054900004E-2</v>
      </c>
      <c r="S298" s="913">
        <f t="shared" si="28"/>
        <v>46</v>
      </c>
    </row>
    <row r="299" spans="1:19" x14ac:dyDescent="0.2">
      <c r="A299" s="11">
        <f t="shared" si="29"/>
        <v>297</v>
      </c>
      <c r="B299" s="11">
        <v>15.437435086571103</v>
      </c>
      <c r="C299" s="11"/>
      <c r="D299" s="11"/>
      <c r="E299" s="11">
        <v>4.6086991686049998</v>
      </c>
      <c r="F299" s="11"/>
      <c r="G299" s="11">
        <v>20.046134255176103</v>
      </c>
      <c r="H299" s="11"/>
      <c r="I299" s="914">
        <f>+SUM(B300:B$501)</f>
        <v>867.4159657240765</v>
      </c>
      <c r="J299" s="914">
        <f>+SUM(C300:C$501)</f>
        <v>425.90048615363798</v>
      </c>
      <c r="K299" s="914">
        <f t="shared" si="24"/>
        <v>1293.3164518777144</v>
      </c>
      <c r="L299" s="914">
        <f>+SUM(D300:D$501)</f>
        <v>121.53592684095247</v>
      </c>
      <c r="M299" s="914">
        <f>+SUM(E300:E$501)</f>
        <v>5838.3061496093842</v>
      </c>
      <c r="N299" s="914">
        <f>+SUM(F300:F$501)</f>
        <v>14.787032984770802</v>
      </c>
      <c r="O299" s="914">
        <f>+SUM(G300:G$501)</f>
        <v>7267.9455613128184</v>
      </c>
      <c r="P299" s="11">
        <f t="shared" si="25"/>
        <v>4.6086991686049998</v>
      </c>
      <c r="Q299" s="913">
        <f t="shared" si="26"/>
        <v>0</v>
      </c>
      <c r="R299" s="11">
        <f t="shared" si="27"/>
        <v>8.2169454054900004E-2</v>
      </c>
      <c r="S299" s="913">
        <f t="shared" si="28"/>
        <v>45</v>
      </c>
    </row>
    <row r="300" spans="1:19" x14ac:dyDescent="0.2">
      <c r="A300" s="11">
        <f t="shared" si="29"/>
        <v>298</v>
      </c>
      <c r="B300" s="11">
        <v>13.415117758752265</v>
      </c>
      <c r="C300" s="11"/>
      <c r="D300" s="11"/>
      <c r="E300" s="11">
        <v>3.9798337570599998</v>
      </c>
      <c r="F300" s="11"/>
      <c r="G300" s="11">
        <v>17.394951515812267</v>
      </c>
      <c r="H300" s="11"/>
      <c r="I300" s="914">
        <f>+SUM(B301:B$501)</f>
        <v>854.0008479653244</v>
      </c>
      <c r="J300" s="914">
        <f>+SUM(C301:C$501)</f>
        <v>425.90048615363798</v>
      </c>
      <c r="K300" s="914">
        <f t="shared" si="24"/>
        <v>1279.9013341189625</v>
      </c>
      <c r="L300" s="914">
        <f>+SUM(D301:D$501)</f>
        <v>121.53592684095247</v>
      </c>
      <c r="M300" s="914">
        <f>+SUM(E301:E$501)</f>
        <v>5834.3263158523232</v>
      </c>
      <c r="N300" s="914">
        <f>+SUM(F301:F$501)</f>
        <v>14.787032984770802</v>
      </c>
      <c r="O300" s="914">
        <f>+SUM(G301:G$501)</f>
        <v>7250.5506097970056</v>
      </c>
      <c r="P300" s="11">
        <f t="shared" si="25"/>
        <v>3.9798337570599998</v>
      </c>
      <c r="Q300" s="913">
        <f t="shared" si="26"/>
        <v>0</v>
      </c>
      <c r="R300" s="11">
        <f t="shared" si="27"/>
        <v>8.2169454054900004E-2</v>
      </c>
      <c r="S300" s="913">
        <f t="shared" si="28"/>
        <v>44</v>
      </c>
    </row>
    <row r="301" spans="1:19" x14ac:dyDescent="0.2">
      <c r="A301" s="11">
        <f t="shared" si="29"/>
        <v>299</v>
      </c>
      <c r="B301" s="11">
        <v>12.95273609326286</v>
      </c>
      <c r="C301" s="11"/>
      <c r="D301" s="11"/>
      <c r="E301" s="11">
        <v>3.4958968801760002</v>
      </c>
      <c r="F301" s="11"/>
      <c r="G301" s="11">
        <v>16.448632973438862</v>
      </c>
      <c r="H301" s="11"/>
      <c r="I301" s="914">
        <f>+SUM(B302:B$501)</f>
        <v>841.04811187206144</v>
      </c>
      <c r="J301" s="914">
        <f>+SUM(C302:C$501)</f>
        <v>425.90048615363798</v>
      </c>
      <c r="K301" s="914">
        <f t="shared" si="24"/>
        <v>1266.9485980256995</v>
      </c>
      <c r="L301" s="914">
        <f>+SUM(D302:D$501)</f>
        <v>121.53592684095247</v>
      </c>
      <c r="M301" s="914">
        <f>+SUM(E302:E$501)</f>
        <v>5830.8304189721466</v>
      </c>
      <c r="N301" s="914">
        <f>+SUM(F302:F$501)</f>
        <v>14.787032984770802</v>
      </c>
      <c r="O301" s="914">
        <f>+SUM(G302:G$501)</f>
        <v>7234.1019768235683</v>
      </c>
      <c r="P301" s="11">
        <f t="shared" si="25"/>
        <v>3.4958968801760002</v>
      </c>
      <c r="Q301" s="913">
        <f t="shared" si="26"/>
        <v>0</v>
      </c>
      <c r="R301" s="11">
        <f t="shared" si="27"/>
        <v>8.2169454054900004E-2</v>
      </c>
      <c r="S301" s="913">
        <f t="shared" si="28"/>
        <v>43</v>
      </c>
    </row>
    <row r="302" spans="1:19" x14ac:dyDescent="0.2">
      <c r="A302" s="11">
        <f t="shared" si="29"/>
        <v>300</v>
      </c>
      <c r="B302" s="11">
        <v>11.575571391460402</v>
      </c>
      <c r="C302" s="11">
        <v>0.98497626515100001</v>
      </c>
      <c r="D302" s="11"/>
      <c r="E302" s="11">
        <v>1.05240005253909</v>
      </c>
      <c r="F302" s="11"/>
      <c r="G302" s="11">
        <v>13.612947709150491</v>
      </c>
      <c r="H302" s="11"/>
      <c r="I302" s="914">
        <f>+SUM(B303:B$501)</f>
        <v>829.47254048060097</v>
      </c>
      <c r="J302" s="914">
        <f>+SUM(C303:C$501)</f>
        <v>424.91550988848701</v>
      </c>
      <c r="K302" s="914">
        <f t="shared" si="24"/>
        <v>1254.388050369088</v>
      </c>
      <c r="L302" s="914">
        <f>+SUM(D303:D$501)</f>
        <v>121.53592684095247</v>
      </c>
      <c r="M302" s="914">
        <f>+SUM(E303:E$501)</f>
        <v>5829.7780189196083</v>
      </c>
      <c r="N302" s="914">
        <f>+SUM(F303:F$501)</f>
        <v>14.787032984770802</v>
      </c>
      <c r="O302" s="914">
        <f>+SUM(G303:G$501)</f>
        <v>7220.4890291144175</v>
      </c>
      <c r="P302" s="11">
        <f t="shared" si="25"/>
        <v>1.05240005253909</v>
      </c>
      <c r="Q302" s="913">
        <f t="shared" si="26"/>
        <v>0</v>
      </c>
      <c r="R302" s="11">
        <f t="shared" si="27"/>
        <v>8.2169454054900004E-2</v>
      </c>
      <c r="S302" s="913">
        <f t="shared" si="28"/>
        <v>42</v>
      </c>
    </row>
    <row r="303" spans="1:19" x14ac:dyDescent="0.2">
      <c r="A303" s="11">
        <f t="shared" si="29"/>
        <v>301</v>
      </c>
      <c r="B303" s="11">
        <v>6.1343518128899994</v>
      </c>
      <c r="C303" s="11">
        <v>0.4342071901897</v>
      </c>
      <c r="D303" s="11">
        <v>1.4544141202395999</v>
      </c>
      <c r="E303" s="11">
        <v>0.73999353480380003</v>
      </c>
      <c r="F303" s="11"/>
      <c r="G303" s="11">
        <v>8.7629666581230996</v>
      </c>
      <c r="H303" s="11"/>
      <c r="I303" s="914">
        <f>+SUM(B304:B$501)</f>
        <v>823.33818866771105</v>
      </c>
      <c r="J303" s="914">
        <f>+SUM(C304:C$501)</f>
        <v>424.48130269829733</v>
      </c>
      <c r="K303" s="914">
        <f t="shared" si="24"/>
        <v>1247.8194913660084</v>
      </c>
      <c r="L303" s="914">
        <f>+SUM(D304:D$501)</f>
        <v>120.08151272071288</v>
      </c>
      <c r="M303" s="914">
        <f>+SUM(E304:E$501)</f>
        <v>5829.0380253848043</v>
      </c>
      <c r="N303" s="914">
        <f>+SUM(F304:F$501)</f>
        <v>14.787032984770802</v>
      </c>
      <c r="O303" s="914">
        <f>+SUM(G304:G$501)</f>
        <v>7211.7260624562941</v>
      </c>
      <c r="P303" s="11">
        <f t="shared" si="25"/>
        <v>0.73999353480380003</v>
      </c>
      <c r="Q303" s="913">
        <f t="shared" si="26"/>
        <v>0</v>
      </c>
      <c r="R303" s="11">
        <f t="shared" si="27"/>
        <v>8.2169454054900004E-2</v>
      </c>
      <c r="S303" s="913">
        <f t="shared" si="28"/>
        <v>41</v>
      </c>
    </row>
    <row r="304" spans="1:19" x14ac:dyDescent="0.2">
      <c r="A304" s="11">
        <f t="shared" si="29"/>
        <v>302</v>
      </c>
      <c r="B304" s="11">
        <v>2.0821492242450002</v>
      </c>
      <c r="C304" s="11">
        <v>4.7785301659900004</v>
      </c>
      <c r="D304" s="11">
        <v>0.21903633266739997</v>
      </c>
      <c r="E304" s="11">
        <v>0.85351318362100004</v>
      </c>
      <c r="F304" s="11"/>
      <c r="G304" s="11">
        <v>7.933228906523401</v>
      </c>
      <c r="H304" s="11"/>
      <c r="I304" s="914">
        <f>+SUM(B305:B$501)</f>
        <v>821.25603944346597</v>
      </c>
      <c r="J304" s="914">
        <f>+SUM(C305:C$501)</f>
        <v>419.70277253230722</v>
      </c>
      <c r="K304" s="914">
        <f t="shared" si="24"/>
        <v>1240.9588119757732</v>
      </c>
      <c r="L304" s="914">
        <f>+SUM(D305:D$501)</f>
        <v>119.86247638804548</v>
      </c>
      <c r="M304" s="914">
        <f>+SUM(E305:E$501)</f>
        <v>5828.1845122011828</v>
      </c>
      <c r="N304" s="914">
        <f>+SUM(F305:F$501)</f>
        <v>14.787032984770802</v>
      </c>
      <c r="O304" s="914">
        <f>+SUM(G305:G$501)</f>
        <v>7203.79283354977</v>
      </c>
      <c r="P304" s="11">
        <f t="shared" si="25"/>
        <v>0.85351318362100004</v>
      </c>
      <c r="Q304" s="913">
        <f t="shared" si="26"/>
        <v>0</v>
      </c>
      <c r="R304" s="11">
        <f t="shared" si="27"/>
        <v>8.2169454054900004E-2</v>
      </c>
      <c r="S304" s="913">
        <f t="shared" si="28"/>
        <v>40</v>
      </c>
    </row>
    <row r="305" spans="1:19" x14ac:dyDescent="0.2">
      <c r="A305" s="11">
        <f t="shared" si="29"/>
        <v>303</v>
      </c>
      <c r="B305" s="11">
        <v>1.7142630907900001</v>
      </c>
      <c r="C305" s="11">
        <v>5.3783818734200004</v>
      </c>
      <c r="D305" s="11">
        <v>0.54196083599800005</v>
      </c>
      <c r="E305" s="11">
        <v>0.177763753016</v>
      </c>
      <c r="F305" s="11"/>
      <c r="G305" s="11">
        <v>7.8123695532240012</v>
      </c>
      <c r="H305" s="11"/>
      <c r="I305" s="914">
        <f>+SUM(B306:B$501)</f>
        <v>819.54177635267604</v>
      </c>
      <c r="J305" s="914">
        <f>+SUM(C306:C$501)</f>
        <v>414.32439065888718</v>
      </c>
      <c r="K305" s="914">
        <f t="shared" si="24"/>
        <v>1233.8661670115632</v>
      </c>
      <c r="L305" s="914">
        <f>+SUM(D306:D$501)</f>
        <v>119.32051555204748</v>
      </c>
      <c r="M305" s="914">
        <f>+SUM(E306:E$501)</f>
        <v>5828.0067484481669</v>
      </c>
      <c r="N305" s="914">
        <f>+SUM(F306:F$501)</f>
        <v>14.787032984770802</v>
      </c>
      <c r="O305" s="914">
        <f>+SUM(G306:G$501)</f>
        <v>7195.9804639965469</v>
      </c>
      <c r="P305" s="11">
        <f t="shared" si="25"/>
        <v>0.177763753016</v>
      </c>
      <c r="Q305" s="913">
        <f t="shared" si="26"/>
        <v>0</v>
      </c>
      <c r="R305" s="11">
        <f t="shared" si="27"/>
        <v>8.2169454054900004E-2</v>
      </c>
      <c r="S305" s="913">
        <f t="shared" si="28"/>
        <v>39</v>
      </c>
    </row>
    <row r="306" spans="1:19" x14ac:dyDescent="0.2">
      <c r="A306" s="11">
        <f t="shared" si="29"/>
        <v>304</v>
      </c>
      <c r="B306" s="11">
        <v>1.37285675006</v>
      </c>
      <c r="C306" s="11">
        <v>5.5379842869011</v>
      </c>
      <c r="D306" s="11">
        <v>0.66518162992311003</v>
      </c>
      <c r="E306" s="11">
        <v>0.170447286723</v>
      </c>
      <c r="F306" s="11"/>
      <c r="G306" s="11">
        <v>7.7464699536072104</v>
      </c>
      <c r="H306" s="11"/>
      <c r="I306" s="914">
        <f>+SUM(B307:B$501)</f>
        <v>818.1689196026158</v>
      </c>
      <c r="J306" s="914">
        <f>+SUM(C307:C$501)</f>
        <v>408.78640637198612</v>
      </c>
      <c r="K306" s="914">
        <f t="shared" si="24"/>
        <v>1226.9553259746019</v>
      </c>
      <c r="L306" s="914">
        <f>+SUM(D307:D$501)</f>
        <v>118.65533392212436</v>
      </c>
      <c r="M306" s="914">
        <f>+SUM(E307:E$501)</f>
        <v>5827.8363011614447</v>
      </c>
      <c r="N306" s="914">
        <f>+SUM(F307:F$501)</f>
        <v>14.787032984770802</v>
      </c>
      <c r="O306" s="914">
        <f>+SUM(G307:G$501)</f>
        <v>7188.2339940429383</v>
      </c>
      <c r="P306" s="11">
        <f t="shared" si="25"/>
        <v>0.170447286723</v>
      </c>
      <c r="Q306" s="913">
        <f t="shared" si="26"/>
        <v>0</v>
      </c>
      <c r="R306" s="11">
        <f t="shared" si="27"/>
        <v>8.2169454054900004E-2</v>
      </c>
      <c r="S306" s="913">
        <f t="shared" si="28"/>
        <v>38</v>
      </c>
    </row>
    <row r="307" spans="1:19" x14ac:dyDescent="0.2">
      <c r="A307" s="11">
        <f t="shared" si="29"/>
        <v>305</v>
      </c>
      <c r="B307" s="11">
        <v>0.93834345990199997</v>
      </c>
      <c r="C307" s="11">
        <v>5.2638543478760003</v>
      </c>
      <c r="D307" s="11">
        <v>1.5237815209879999</v>
      </c>
      <c r="E307" s="11"/>
      <c r="F307" s="11"/>
      <c r="G307" s="11">
        <v>7.7259793287659999</v>
      </c>
      <c r="H307" s="11"/>
      <c r="I307" s="914">
        <f>+SUM(B308:B$501)</f>
        <v>817.23057614271386</v>
      </c>
      <c r="J307" s="914">
        <f>+SUM(C308:C$501)</f>
        <v>403.52255202411015</v>
      </c>
      <c r="K307" s="914">
        <f t="shared" si="24"/>
        <v>1220.7531281668239</v>
      </c>
      <c r="L307" s="914">
        <f>+SUM(D308:D$501)</f>
        <v>117.13155240113636</v>
      </c>
      <c r="M307" s="914">
        <f>+SUM(E308:E$501)</f>
        <v>5827.8363011614447</v>
      </c>
      <c r="N307" s="914">
        <f>+SUM(F308:F$501)</f>
        <v>14.787032984770802</v>
      </c>
      <c r="O307" s="914">
        <f>+SUM(G308:G$501)</f>
        <v>7180.5080147141734</v>
      </c>
      <c r="P307" s="11">
        <f t="shared" si="25"/>
        <v>1.0721664660400001E-2</v>
      </c>
      <c r="Q307" s="913">
        <f t="shared" si="26"/>
        <v>2</v>
      </c>
      <c r="R307" s="11">
        <f t="shared" si="27"/>
        <v>8.2169454054900004E-2</v>
      </c>
      <c r="S307" s="913">
        <f t="shared" si="28"/>
        <v>37</v>
      </c>
    </row>
    <row r="308" spans="1:19" x14ac:dyDescent="0.2">
      <c r="A308" s="11">
        <f t="shared" si="29"/>
        <v>306</v>
      </c>
      <c r="B308" s="11">
        <v>1.700372671572</v>
      </c>
      <c r="C308" s="11">
        <v>6.1841825956600003</v>
      </c>
      <c r="D308" s="11">
        <v>0.47163723880059999</v>
      </c>
      <c r="E308" s="11"/>
      <c r="F308" s="11"/>
      <c r="G308" s="11">
        <v>8.3561925060326008</v>
      </c>
      <c r="H308" s="11"/>
      <c r="I308" s="914">
        <f>+SUM(B309:B$501)</f>
        <v>815.53020347114182</v>
      </c>
      <c r="J308" s="914">
        <f>+SUM(C309:C$501)</f>
        <v>397.33836942845028</v>
      </c>
      <c r="K308" s="914">
        <f t="shared" si="24"/>
        <v>1212.868572899592</v>
      </c>
      <c r="L308" s="914">
        <f>+SUM(D309:D$501)</f>
        <v>116.65991516233575</v>
      </c>
      <c r="M308" s="914">
        <f>+SUM(E309:E$501)</f>
        <v>5827.8363011614447</v>
      </c>
      <c r="N308" s="914">
        <f>+SUM(F309:F$501)</f>
        <v>14.787032984770802</v>
      </c>
      <c r="O308" s="914">
        <f>+SUM(G309:G$501)</f>
        <v>7172.1518222081404</v>
      </c>
      <c r="P308" s="11">
        <f t="shared" si="25"/>
        <v>1.0721664660400001E-2</v>
      </c>
      <c r="Q308" s="913">
        <f t="shared" si="26"/>
        <v>1</v>
      </c>
      <c r="R308" s="11">
        <f t="shared" si="27"/>
        <v>8.2169454054900004E-2</v>
      </c>
      <c r="S308" s="913">
        <f t="shared" si="28"/>
        <v>36</v>
      </c>
    </row>
    <row r="309" spans="1:19" x14ac:dyDescent="0.2">
      <c r="A309" s="11">
        <f t="shared" si="29"/>
        <v>307</v>
      </c>
      <c r="B309" s="11">
        <v>1.1437454499277999</v>
      </c>
      <c r="C309" s="11">
        <v>8.0594591647300007</v>
      </c>
      <c r="D309" s="11">
        <v>0.109414834635</v>
      </c>
      <c r="E309" s="11">
        <v>1.0721664660400001E-2</v>
      </c>
      <c r="F309" s="11"/>
      <c r="G309" s="11">
        <v>9.3233411139531999</v>
      </c>
      <c r="H309" s="11"/>
      <c r="I309" s="914">
        <f>+SUM(B310:B$501)</f>
        <v>814.38645802121403</v>
      </c>
      <c r="J309" s="914">
        <f>+SUM(C310:C$501)</f>
        <v>389.27891026372026</v>
      </c>
      <c r="K309" s="914">
        <f t="shared" si="24"/>
        <v>1203.6653682849342</v>
      </c>
      <c r="L309" s="914">
        <f>+SUM(D310:D$501)</f>
        <v>116.55050032770077</v>
      </c>
      <c r="M309" s="914">
        <f>+SUM(E310:E$501)</f>
        <v>5827.8255794967836</v>
      </c>
      <c r="N309" s="914">
        <f>+SUM(F310:F$501)</f>
        <v>14.787032984770802</v>
      </c>
      <c r="O309" s="914">
        <f>+SUM(G310:G$501)</f>
        <v>7162.8284810941868</v>
      </c>
      <c r="P309" s="11">
        <f t="shared" si="25"/>
        <v>1.0721664660400001E-2</v>
      </c>
      <c r="Q309" s="913">
        <f t="shared" si="26"/>
        <v>0</v>
      </c>
      <c r="R309" s="11">
        <f t="shared" si="27"/>
        <v>8.2169454054900004E-2</v>
      </c>
      <c r="S309" s="913">
        <f t="shared" si="28"/>
        <v>35</v>
      </c>
    </row>
    <row r="310" spans="1:19" x14ac:dyDescent="0.2">
      <c r="A310" s="11">
        <f t="shared" si="29"/>
        <v>308</v>
      </c>
      <c r="B310" s="11">
        <v>1.0959794623200001</v>
      </c>
      <c r="C310" s="11">
        <v>8.4634964774399997</v>
      </c>
      <c r="D310" s="11">
        <v>0.219053269276</v>
      </c>
      <c r="E310" s="11">
        <v>2.3325518352700001E-2</v>
      </c>
      <c r="F310" s="11"/>
      <c r="G310" s="11">
        <v>9.8018547273886991</v>
      </c>
      <c r="H310" s="11"/>
      <c r="I310" s="914">
        <f>+SUM(B311:B$501)</f>
        <v>813.29047855889405</v>
      </c>
      <c r="J310" s="914">
        <f>+SUM(C311:C$501)</f>
        <v>380.81541378628026</v>
      </c>
      <c r="K310" s="914">
        <f t="shared" si="24"/>
        <v>1194.1058923451742</v>
      </c>
      <c r="L310" s="914">
        <f>+SUM(D311:D$501)</f>
        <v>116.33144705842477</v>
      </c>
      <c r="M310" s="914">
        <f>+SUM(E311:E$501)</f>
        <v>5827.8022539784315</v>
      </c>
      <c r="N310" s="914">
        <f>+SUM(F311:F$501)</f>
        <v>14.787032984770802</v>
      </c>
      <c r="O310" s="914">
        <f>+SUM(G311:G$501)</f>
        <v>7153.0266263667991</v>
      </c>
      <c r="P310" s="11">
        <f t="shared" si="25"/>
        <v>2.3325518352700001E-2</v>
      </c>
      <c r="Q310" s="913">
        <f t="shared" si="26"/>
        <v>0</v>
      </c>
      <c r="R310" s="11">
        <f t="shared" si="27"/>
        <v>8.2169454054900004E-2</v>
      </c>
      <c r="S310" s="913">
        <f t="shared" si="28"/>
        <v>34</v>
      </c>
    </row>
    <row r="311" spans="1:19" x14ac:dyDescent="0.2">
      <c r="A311" s="11">
        <f t="shared" si="29"/>
        <v>309</v>
      </c>
      <c r="B311" s="11">
        <v>1.0731161070518</v>
      </c>
      <c r="C311" s="11">
        <v>8.1708635606600009</v>
      </c>
      <c r="D311" s="11">
        <v>0.256883703997</v>
      </c>
      <c r="E311" s="11">
        <v>2.6038054257800002E-2</v>
      </c>
      <c r="F311" s="11"/>
      <c r="G311" s="11">
        <v>9.5269014259666012</v>
      </c>
      <c r="H311" s="11"/>
      <c r="I311" s="914">
        <f>+SUM(B312:B$501)</f>
        <v>812.2173624518424</v>
      </c>
      <c r="J311" s="914">
        <f>+SUM(C312:C$501)</f>
        <v>372.64455022562026</v>
      </c>
      <c r="K311" s="914">
        <f t="shared" si="24"/>
        <v>1184.8619126774627</v>
      </c>
      <c r="L311" s="914">
        <f>+SUM(D312:D$501)</f>
        <v>116.07456335442777</v>
      </c>
      <c r="M311" s="914">
        <f>+SUM(E312:E$501)</f>
        <v>5827.7762159241729</v>
      </c>
      <c r="N311" s="914">
        <f>+SUM(F312:F$501)</f>
        <v>14.787032984770802</v>
      </c>
      <c r="O311" s="914">
        <f>+SUM(G312:G$501)</f>
        <v>7143.4997249408325</v>
      </c>
      <c r="P311" s="11">
        <f t="shared" si="25"/>
        <v>2.6038054257800002E-2</v>
      </c>
      <c r="Q311" s="913">
        <f t="shared" si="26"/>
        <v>0</v>
      </c>
      <c r="R311" s="11">
        <f t="shared" si="27"/>
        <v>8.2169454054900004E-2</v>
      </c>
      <c r="S311" s="913">
        <f t="shared" si="28"/>
        <v>33</v>
      </c>
    </row>
    <row r="312" spans="1:19" x14ac:dyDescent="0.2">
      <c r="A312" s="11">
        <f t="shared" si="29"/>
        <v>310</v>
      </c>
      <c r="B312" s="11">
        <v>0.90084197162054991</v>
      </c>
      <c r="C312" s="11">
        <v>7.0209077258499999</v>
      </c>
      <c r="D312" s="11">
        <v>0.2177084031164</v>
      </c>
      <c r="E312" s="11">
        <v>1.2544997245</v>
      </c>
      <c r="F312" s="11"/>
      <c r="G312" s="11">
        <v>9.3939578250869502</v>
      </c>
      <c r="H312" s="11"/>
      <c r="I312" s="914">
        <f>+SUM(B313:B$501)</f>
        <v>811.31652048022181</v>
      </c>
      <c r="J312" s="914">
        <f>+SUM(C313:C$501)</f>
        <v>365.6236424997702</v>
      </c>
      <c r="K312" s="914">
        <f t="shared" si="24"/>
        <v>1176.940162979992</v>
      </c>
      <c r="L312" s="914">
        <f>+SUM(D313:D$501)</f>
        <v>115.85685495131136</v>
      </c>
      <c r="M312" s="914">
        <f>+SUM(E313:E$501)</f>
        <v>5826.5217161996743</v>
      </c>
      <c r="N312" s="914">
        <f>+SUM(F313:F$501)</f>
        <v>14.787032984770802</v>
      </c>
      <c r="O312" s="914">
        <f>+SUM(G313:G$501)</f>
        <v>7134.1057671157441</v>
      </c>
      <c r="P312" s="11">
        <f t="shared" si="25"/>
        <v>1.2544997245</v>
      </c>
      <c r="Q312" s="913">
        <f t="shared" si="26"/>
        <v>0</v>
      </c>
      <c r="R312" s="11">
        <f t="shared" si="27"/>
        <v>8.2169454054900004E-2</v>
      </c>
      <c r="S312" s="913">
        <f t="shared" si="28"/>
        <v>32</v>
      </c>
    </row>
    <row r="313" spans="1:19" x14ac:dyDescent="0.2">
      <c r="A313" s="11">
        <f t="shared" si="29"/>
        <v>311</v>
      </c>
      <c r="B313" s="11">
        <v>1.3099229558580001</v>
      </c>
      <c r="C313" s="11">
        <v>4.9321593575910807</v>
      </c>
      <c r="D313" s="11">
        <v>1.0996136581704001</v>
      </c>
      <c r="E313" s="11">
        <v>2.8405685227408197</v>
      </c>
      <c r="F313" s="11"/>
      <c r="G313" s="11">
        <v>10.1822644943603</v>
      </c>
      <c r="H313" s="11"/>
      <c r="I313" s="914">
        <f>+SUM(B314:B$501)</f>
        <v>810.00659752436366</v>
      </c>
      <c r="J313" s="914">
        <f>+SUM(C314:C$501)</f>
        <v>360.69148314217915</v>
      </c>
      <c r="K313" s="914">
        <f t="shared" si="24"/>
        <v>1170.6980806665429</v>
      </c>
      <c r="L313" s="914">
        <f>+SUM(D314:D$501)</f>
        <v>114.75724129314096</v>
      </c>
      <c r="M313" s="914">
        <f>+SUM(E314:E$501)</f>
        <v>5823.6811476769335</v>
      </c>
      <c r="N313" s="914">
        <f>+SUM(F314:F$501)</f>
        <v>14.787032984770802</v>
      </c>
      <c r="O313" s="914">
        <f>+SUM(G314:G$501)</f>
        <v>7123.9235026213837</v>
      </c>
      <c r="P313" s="11">
        <f t="shared" si="25"/>
        <v>2.8405685227408197</v>
      </c>
      <c r="Q313" s="913">
        <f t="shared" si="26"/>
        <v>0</v>
      </c>
      <c r="R313" s="11">
        <f t="shared" si="27"/>
        <v>8.2169454054900004E-2</v>
      </c>
      <c r="S313" s="913">
        <f t="shared" si="28"/>
        <v>31</v>
      </c>
    </row>
    <row r="314" spans="1:19" x14ac:dyDescent="0.2">
      <c r="A314" s="11">
        <f t="shared" si="29"/>
        <v>312</v>
      </c>
      <c r="B314" s="11">
        <v>2.7698270477140001</v>
      </c>
      <c r="C314" s="11">
        <v>7.8165915482300008</v>
      </c>
      <c r="D314" s="11">
        <v>1.3715223651944</v>
      </c>
      <c r="E314" s="11">
        <v>0.24359803191000001</v>
      </c>
      <c r="F314" s="11"/>
      <c r="G314" s="11">
        <v>12.2015389930484</v>
      </c>
      <c r="H314" s="11"/>
      <c r="I314" s="914">
        <f>+SUM(B315:B$501)</f>
        <v>807.23677047664967</v>
      </c>
      <c r="J314" s="914">
        <f>+SUM(C315:C$501)</f>
        <v>352.8748915939492</v>
      </c>
      <c r="K314" s="914">
        <f t="shared" si="24"/>
        <v>1160.1116620705989</v>
      </c>
      <c r="L314" s="914">
        <f>+SUM(D315:D$501)</f>
        <v>113.38571892794656</v>
      </c>
      <c r="M314" s="914">
        <f>+SUM(E315:E$501)</f>
        <v>5823.437549645022</v>
      </c>
      <c r="N314" s="914">
        <f>+SUM(F315:F$501)</f>
        <v>14.787032984770802</v>
      </c>
      <c r="O314" s="914">
        <f>+SUM(G315:G$501)</f>
        <v>7111.7219636283362</v>
      </c>
      <c r="P314" s="11">
        <f t="shared" si="25"/>
        <v>0.24359803191000001</v>
      </c>
      <c r="Q314" s="913">
        <f t="shared" si="26"/>
        <v>0</v>
      </c>
      <c r="R314" s="11">
        <f t="shared" si="27"/>
        <v>8.2169454054900004E-2</v>
      </c>
      <c r="S314" s="913">
        <f t="shared" si="28"/>
        <v>30</v>
      </c>
    </row>
    <row r="315" spans="1:19" x14ac:dyDescent="0.2">
      <c r="A315" s="11">
        <f t="shared" si="29"/>
        <v>313</v>
      </c>
      <c r="B315" s="11">
        <v>5.8103268139863999</v>
      </c>
      <c r="C315" s="11">
        <v>8.1413772380998992</v>
      </c>
      <c r="D315" s="11">
        <v>5.6421687620200001E-2</v>
      </c>
      <c r="E315" s="11">
        <v>1.59382059099E-2</v>
      </c>
      <c r="F315" s="11"/>
      <c r="G315" s="11">
        <v>14.024063945616398</v>
      </c>
      <c r="H315" s="11"/>
      <c r="I315" s="914">
        <f>+SUM(B316:B$501)</f>
        <v>801.42644366266347</v>
      </c>
      <c r="J315" s="914">
        <f>+SUM(C316:C$501)</f>
        <v>344.73351435584942</v>
      </c>
      <c r="K315" s="914">
        <f t="shared" si="24"/>
        <v>1146.159958018513</v>
      </c>
      <c r="L315" s="914">
        <f>+SUM(D316:D$501)</f>
        <v>113.32929724032635</v>
      </c>
      <c r="M315" s="914">
        <f>+SUM(E316:E$501)</f>
        <v>5823.421611439112</v>
      </c>
      <c r="N315" s="914">
        <f>+SUM(F316:F$501)</f>
        <v>14.787032984770802</v>
      </c>
      <c r="O315" s="914">
        <f>+SUM(G316:G$501)</f>
        <v>7097.6978996827193</v>
      </c>
      <c r="P315" s="11">
        <f t="shared" si="25"/>
        <v>1.59382059099E-2</v>
      </c>
      <c r="Q315" s="913">
        <f t="shared" si="26"/>
        <v>0</v>
      </c>
      <c r="R315" s="11">
        <f t="shared" si="27"/>
        <v>8.2169454054900004E-2</v>
      </c>
      <c r="S315" s="913">
        <f t="shared" si="28"/>
        <v>29</v>
      </c>
    </row>
    <row r="316" spans="1:19" x14ac:dyDescent="0.2">
      <c r="A316" s="11">
        <f t="shared" si="29"/>
        <v>314</v>
      </c>
      <c r="B316" s="11">
        <v>6.4085207775294002</v>
      </c>
      <c r="C316" s="11">
        <v>7.0649596090689997</v>
      </c>
      <c r="D316" s="11">
        <v>0.32898886637500002</v>
      </c>
      <c r="E316" s="11">
        <v>3.8770794157499998E-3</v>
      </c>
      <c r="F316" s="11"/>
      <c r="G316" s="11">
        <v>13.806346332389149</v>
      </c>
      <c r="H316" s="11"/>
      <c r="I316" s="914">
        <f>+SUM(B317:B$501)</f>
        <v>795.017922885134</v>
      </c>
      <c r="J316" s="914">
        <f>+SUM(C317:C$501)</f>
        <v>337.66855474678039</v>
      </c>
      <c r="K316" s="914">
        <f t="shared" si="24"/>
        <v>1132.6864776319144</v>
      </c>
      <c r="L316" s="914">
        <f>+SUM(D317:D$501)</f>
        <v>113.00030837395136</v>
      </c>
      <c r="M316" s="914">
        <f>+SUM(E317:E$501)</f>
        <v>5823.4177343596975</v>
      </c>
      <c r="N316" s="914">
        <f>+SUM(F317:F$501)</f>
        <v>14.787032984770802</v>
      </c>
      <c r="O316" s="914">
        <f>+SUM(G317:G$501)</f>
        <v>7083.8915533503305</v>
      </c>
      <c r="P316" s="11">
        <f t="shared" si="25"/>
        <v>3.8770794157499998E-3</v>
      </c>
      <c r="Q316" s="913">
        <f t="shared" si="26"/>
        <v>0</v>
      </c>
      <c r="R316" s="11">
        <f t="shared" si="27"/>
        <v>8.2169454054900004E-2</v>
      </c>
      <c r="S316" s="913">
        <f t="shared" si="28"/>
        <v>28</v>
      </c>
    </row>
    <row r="317" spans="1:19" x14ac:dyDescent="0.2">
      <c r="A317" s="11">
        <f t="shared" si="29"/>
        <v>315</v>
      </c>
      <c r="B317" s="11">
        <v>3.2316934304069997</v>
      </c>
      <c r="C317" s="11">
        <v>8.3987979183100006</v>
      </c>
      <c r="D317" s="11">
        <v>0.12726809865499999</v>
      </c>
      <c r="E317" s="11"/>
      <c r="F317" s="11"/>
      <c r="G317" s="11">
        <v>11.757759447372001</v>
      </c>
      <c r="H317" s="11"/>
      <c r="I317" s="914">
        <f>+SUM(B318:B$501)</f>
        <v>791.78622945472705</v>
      </c>
      <c r="J317" s="914">
        <f>+SUM(C318:C$501)</f>
        <v>329.26975682847041</v>
      </c>
      <c r="K317" s="914">
        <f t="shared" si="24"/>
        <v>1121.0559862831974</v>
      </c>
      <c r="L317" s="914">
        <f>+SUM(D318:D$501)</f>
        <v>112.87304027529638</v>
      </c>
      <c r="M317" s="914">
        <f>+SUM(E318:E$501)</f>
        <v>5823.4177343596975</v>
      </c>
      <c r="N317" s="914">
        <f>+SUM(F318:F$501)</f>
        <v>14.787032984770802</v>
      </c>
      <c r="O317" s="914">
        <f>+SUM(G318:G$501)</f>
        <v>7072.133793902959</v>
      </c>
      <c r="P317" s="11">
        <f t="shared" si="25"/>
        <v>0.96479817328499995</v>
      </c>
      <c r="Q317" s="913">
        <f t="shared" si="26"/>
        <v>2</v>
      </c>
      <c r="R317" s="11">
        <f t="shared" si="27"/>
        <v>8.2169454054900004E-2</v>
      </c>
      <c r="S317" s="913">
        <f t="shared" si="28"/>
        <v>27</v>
      </c>
    </row>
    <row r="318" spans="1:19" x14ac:dyDescent="0.2">
      <c r="A318" s="11">
        <f t="shared" si="29"/>
        <v>316</v>
      </c>
      <c r="B318" s="11">
        <v>3.5888325815990001</v>
      </c>
      <c r="C318" s="11">
        <v>6.2563577691600001</v>
      </c>
      <c r="D318" s="11">
        <v>1.0317196400200001E-2</v>
      </c>
      <c r="E318" s="11"/>
      <c r="F318" s="11"/>
      <c r="G318" s="11">
        <v>9.8555075471592009</v>
      </c>
      <c r="H318" s="11"/>
      <c r="I318" s="914">
        <f>+SUM(B319:B$501)</f>
        <v>788.19739687312801</v>
      </c>
      <c r="J318" s="914">
        <f>+SUM(C319:C$501)</f>
        <v>323.01339905931036</v>
      </c>
      <c r="K318" s="914">
        <f t="shared" si="24"/>
        <v>1111.2107959324385</v>
      </c>
      <c r="L318" s="914">
        <f>+SUM(D319:D$501)</f>
        <v>112.86272307889615</v>
      </c>
      <c r="M318" s="914">
        <f>+SUM(E319:E$501)</f>
        <v>5823.4177343596975</v>
      </c>
      <c r="N318" s="914">
        <f>+SUM(F319:F$501)</f>
        <v>14.787032984770802</v>
      </c>
      <c r="O318" s="914">
        <f>+SUM(G319:G$501)</f>
        <v>7062.2782863557995</v>
      </c>
      <c r="P318" s="11">
        <f t="shared" si="25"/>
        <v>0.96479817328499995</v>
      </c>
      <c r="Q318" s="913">
        <f t="shared" si="26"/>
        <v>1</v>
      </c>
      <c r="R318" s="11">
        <f t="shared" si="27"/>
        <v>8.2169454054900004E-2</v>
      </c>
      <c r="S318" s="913">
        <f t="shared" si="28"/>
        <v>26</v>
      </c>
    </row>
    <row r="319" spans="1:19" x14ac:dyDescent="0.2">
      <c r="A319" s="11">
        <f t="shared" si="29"/>
        <v>317</v>
      </c>
      <c r="B319" s="11">
        <v>5.574037752802</v>
      </c>
      <c r="C319" s="11">
        <v>3.6512260733700002</v>
      </c>
      <c r="D319" s="11">
        <v>0.18927323543800001</v>
      </c>
      <c r="E319" s="11">
        <v>0.96479817328499995</v>
      </c>
      <c r="F319" s="11"/>
      <c r="G319" s="11">
        <v>10.379335234895001</v>
      </c>
      <c r="H319" s="11"/>
      <c r="I319" s="914">
        <f>+SUM(B320:B$501)</f>
        <v>782.62335912032597</v>
      </c>
      <c r="J319" s="914">
        <f>+SUM(C320:C$501)</f>
        <v>319.36217298594033</v>
      </c>
      <c r="K319" s="914">
        <f t="shared" si="24"/>
        <v>1101.9855321062664</v>
      </c>
      <c r="L319" s="914">
        <f>+SUM(D320:D$501)</f>
        <v>112.67344984345817</v>
      </c>
      <c r="M319" s="914">
        <f>+SUM(E320:E$501)</f>
        <v>5822.4529361864124</v>
      </c>
      <c r="N319" s="914">
        <f>+SUM(F320:F$501)</f>
        <v>14.787032984770802</v>
      </c>
      <c r="O319" s="914">
        <f>+SUM(G320:G$501)</f>
        <v>7051.8989511209047</v>
      </c>
      <c r="P319" s="11">
        <f t="shared" si="25"/>
        <v>0.96479817328499995</v>
      </c>
      <c r="Q319" s="913">
        <f t="shared" si="26"/>
        <v>0</v>
      </c>
      <c r="R319" s="11">
        <f t="shared" si="27"/>
        <v>8.2169454054900004E-2</v>
      </c>
      <c r="S319" s="913">
        <f t="shared" si="28"/>
        <v>25</v>
      </c>
    </row>
    <row r="320" spans="1:19" x14ac:dyDescent="0.2">
      <c r="A320" s="11">
        <f t="shared" si="29"/>
        <v>318</v>
      </c>
      <c r="B320" s="11">
        <v>6.2341996976760301</v>
      </c>
      <c r="C320" s="11">
        <v>4.266280791841</v>
      </c>
      <c r="D320" s="11"/>
      <c r="E320" s="11">
        <v>4.0615049876500002</v>
      </c>
      <c r="F320" s="11"/>
      <c r="G320" s="11">
        <v>14.561985477167031</v>
      </c>
      <c r="H320" s="11"/>
      <c r="I320" s="914">
        <f>+SUM(B321:B$501)</f>
        <v>776.38915942264987</v>
      </c>
      <c r="J320" s="914">
        <f>+SUM(C321:C$501)</f>
        <v>315.09589219409929</v>
      </c>
      <c r="K320" s="914">
        <f t="shared" si="24"/>
        <v>1091.4850516167492</v>
      </c>
      <c r="L320" s="914">
        <f>+SUM(D321:D$501)</f>
        <v>112.67344984345817</v>
      </c>
      <c r="M320" s="914">
        <f>+SUM(E321:E$501)</f>
        <v>5818.3914311987619</v>
      </c>
      <c r="N320" s="914">
        <f>+SUM(F321:F$501)</f>
        <v>14.787032984770802</v>
      </c>
      <c r="O320" s="914">
        <f>+SUM(G321:G$501)</f>
        <v>7037.336965643738</v>
      </c>
      <c r="P320" s="11">
        <f t="shared" si="25"/>
        <v>4.0615049876500002</v>
      </c>
      <c r="Q320" s="913">
        <f t="shared" si="26"/>
        <v>0</v>
      </c>
      <c r="R320" s="11">
        <f t="shared" si="27"/>
        <v>8.2169454054900004E-2</v>
      </c>
      <c r="S320" s="913">
        <f t="shared" si="28"/>
        <v>24</v>
      </c>
    </row>
    <row r="321" spans="1:19" x14ac:dyDescent="0.2">
      <c r="A321" s="11">
        <f t="shared" si="29"/>
        <v>319</v>
      </c>
      <c r="B321" s="11">
        <v>6.0847587626885495</v>
      </c>
      <c r="C321" s="11">
        <v>11.981900901268</v>
      </c>
      <c r="D321" s="11"/>
      <c r="E321" s="11">
        <v>1.4355905871479999</v>
      </c>
      <c r="F321" s="11"/>
      <c r="G321" s="11">
        <v>19.502250251104549</v>
      </c>
      <c r="H321" s="11"/>
      <c r="I321" s="914">
        <f>+SUM(B322:B$501)</f>
        <v>770.30440065996152</v>
      </c>
      <c r="J321" s="914">
        <f>+SUM(C322:C$501)</f>
        <v>303.11399129283137</v>
      </c>
      <c r="K321" s="914">
        <f t="shared" si="24"/>
        <v>1073.4183919527929</v>
      </c>
      <c r="L321" s="914">
        <f>+SUM(D322:D$501)</f>
        <v>112.67344984345817</v>
      </c>
      <c r="M321" s="914">
        <f>+SUM(E322:E$501)</f>
        <v>5816.9558406116148</v>
      </c>
      <c r="N321" s="914">
        <f>+SUM(F322:F$501)</f>
        <v>14.787032984770802</v>
      </c>
      <c r="O321" s="914">
        <f>+SUM(G322:G$501)</f>
        <v>7017.8347153926325</v>
      </c>
      <c r="P321" s="11">
        <f t="shared" si="25"/>
        <v>1.4355905871479999</v>
      </c>
      <c r="Q321" s="913">
        <f t="shared" si="26"/>
        <v>0</v>
      </c>
      <c r="R321" s="11">
        <f t="shared" si="27"/>
        <v>8.2169454054900004E-2</v>
      </c>
      <c r="S321" s="913">
        <f t="shared" si="28"/>
        <v>23</v>
      </c>
    </row>
    <row r="322" spans="1:19" x14ac:dyDescent="0.2">
      <c r="A322" s="11">
        <f t="shared" si="29"/>
        <v>320</v>
      </c>
      <c r="B322" s="11">
        <v>3.0286514404788099</v>
      </c>
      <c r="C322" s="11">
        <v>12.1943026445754</v>
      </c>
      <c r="D322" s="11"/>
      <c r="E322" s="11">
        <v>0.846380292787</v>
      </c>
      <c r="F322" s="11"/>
      <c r="G322" s="11">
        <v>16.069334377841209</v>
      </c>
      <c r="H322" s="11"/>
      <c r="I322" s="914">
        <f>+SUM(B323:B$501)</f>
        <v>767.27574921948269</v>
      </c>
      <c r="J322" s="914">
        <f>+SUM(C323:C$501)</f>
        <v>290.91968864825594</v>
      </c>
      <c r="K322" s="914">
        <f t="shared" si="24"/>
        <v>1058.1954378677387</v>
      </c>
      <c r="L322" s="914">
        <f>+SUM(D323:D$501)</f>
        <v>112.67344984345817</v>
      </c>
      <c r="M322" s="914">
        <f>+SUM(E323:E$501)</f>
        <v>5816.1094603188276</v>
      </c>
      <c r="N322" s="914">
        <f>+SUM(F323:F$501)</f>
        <v>14.787032984770802</v>
      </c>
      <c r="O322" s="914">
        <f>+SUM(G323:G$501)</f>
        <v>7001.7653810147922</v>
      </c>
      <c r="P322" s="11">
        <f t="shared" si="25"/>
        <v>0.846380292787</v>
      </c>
      <c r="Q322" s="913">
        <f t="shared" si="26"/>
        <v>0</v>
      </c>
      <c r="R322" s="11">
        <f t="shared" si="27"/>
        <v>8.2169454054900004E-2</v>
      </c>
      <c r="S322" s="913">
        <f t="shared" si="28"/>
        <v>22</v>
      </c>
    </row>
    <row r="323" spans="1:19" x14ac:dyDescent="0.2">
      <c r="A323" s="11">
        <f t="shared" si="29"/>
        <v>321</v>
      </c>
      <c r="B323" s="11">
        <v>2.5103125921386003</v>
      </c>
      <c r="C323" s="11">
        <v>9.6994780372888005</v>
      </c>
      <c r="D323" s="11">
        <v>0.15229899932999999</v>
      </c>
      <c r="E323" s="11">
        <v>2.0452006121779998</v>
      </c>
      <c r="F323" s="11"/>
      <c r="G323" s="11">
        <v>14.407290240935401</v>
      </c>
      <c r="H323" s="11"/>
      <c r="I323" s="914">
        <f>+SUM(B324:B$501)</f>
        <v>764.765436627344</v>
      </c>
      <c r="J323" s="914">
        <f>+SUM(C324:C$501)</f>
        <v>281.22021061096706</v>
      </c>
      <c r="K323" s="914">
        <f t="shared" si="24"/>
        <v>1045.985647238311</v>
      </c>
      <c r="L323" s="914">
        <f>+SUM(D324:D$501)</f>
        <v>112.52115084412816</v>
      </c>
      <c r="M323" s="914">
        <f>+SUM(E324:E$501)</f>
        <v>5814.0642597066499</v>
      </c>
      <c r="N323" s="914">
        <f>+SUM(F324:F$501)</f>
        <v>14.787032984770802</v>
      </c>
      <c r="O323" s="914">
        <f>+SUM(G324:G$501)</f>
        <v>6987.3580907738569</v>
      </c>
      <c r="P323" s="11">
        <f t="shared" si="25"/>
        <v>2.0452006121779998</v>
      </c>
      <c r="Q323" s="913">
        <f t="shared" si="26"/>
        <v>0</v>
      </c>
      <c r="R323" s="11">
        <f t="shared" si="27"/>
        <v>8.2169454054900004E-2</v>
      </c>
      <c r="S323" s="913">
        <f t="shared" si="28"/>
        <v>21</v>
      </c>
    </row>
    <row r="324" spans="1:19" x14ac:dyDescent="0.2">
      <c r="A324" s="11">
        <f t="shared" si="29"/>
        <v>322</v>
      </c>
      <c r="B324" s="11">
        <v>5.2061783600084999</v>
      </c>
      <c r="C324" s="11">
        <v>7.4676442297756003</v>
      </c>
      <c r="D324" s="11"/>
      <c r="E324" s="11">
        <v>3.0938636060100002</v>
      </c>
      <c r="F324" s="11"/>
      <c r="G324" s="11">
        <v>15.7676861957941</v>
      </c>
      <c r="H324" s="11"/>
      <c r="I324" s="914">
        <f>+SUM(B325:B$501)</f>
        <v>759.55925826733562</v>
      </c>
      <c r="J324" s="914">
        <f>+SUM(C325:C$501)</f>
        <v>273.75256638119151</v>
      </c>
      <c r="K324" s="914">
        <f t="shared" ref="K324:K387" si="30">+I324+J324</f>
        <v>1033.3118246485271</v>
      </c>
      <c r="L324" s="914">
        <f>+SUM(D325:D$501)</f>
        <v>112.52115084412816</v>
      </c>
      <c r="M324" s="914">
        <f>+SUM(E325:E$501)</f>
        <v>5810.9703961006389</v>
      </c>
      <c r="N324" s="914">
        <f>+SUM(F325:F$501)</f>
        <v>14.787032984770802</v>
      </c>
      <c r="O324" s="914">
        <f>+SUM(G325:G$501)</f>
        <v>6971.5904045780635</v>
      </c>
      <c r="P324" s="11">
        <f t="shared" ref="P324:P387" si="31">IF(E324&gt;0,E324,P325)</f>
        <v>3.0938636060100002</v>
      </c>
      <c r="Q324" s="913">
        <f t="shared" ref="Q324:Q387" si="32">+IF(E324&gt;0, 0, Q325+A325-A324)</f>
        <v>0</v>
      </c>
      <c r="R324" s="11">
        <f t="shared" ref="R324:R387" si="33">IF(F324&gt;0,F324,R325)</f>
        <v>8.2169454054900004E-2</v>
      </c>
      <c r="S324" s="913">
        <f t="shared" ref="S324:S387" si="34">+IF(F324&gt;0, 0, S325+A325-A324)</f>
        <v>20</v>
      </c>
    </row>
    <row r="325" spans="1:19" x14ac:dyDescent="0.2">
      <c r="A325" s="11">
        <f t="shared" si="29"/>
        <v>323</v>
      </c>
      <c r="B325" s="11">
        <v>7.1987684125068503</v>
      </c>
      <c r="C325" s="11">
        <v>6.7158351222419999</v>
      </c>
      <c r="D325" s="11"/>
      <c r="E325" s="11">
        <v>6.9449226127300001</v>
      </c>
      <c r="F325" s="11"/>
      <c r="G325" s="11">
        <v>20.859526147478849</v>
      </c>
      <c r="H325" s="11"/>
      <c r="I325" s="914">
        <f>+SUM(B326:B$501)</f>
        <v>752.36048985482864</v>
      </c>
      <c r="J325" s="914">
        <f>+SUM(C326:C$501)</f>
        <v>267.03673125894949</v>
      </c>
      <c r="K325" s="914">
        <f t="shared" si="30"/>
        <v>1019.3972211137782</v>
      </c>
      <c r="L325" s="914">
        <f>+SUM(D326:D$501)</f>
        <v>112.52115084412816</v>
      </c>
      <c r="M325" s="914">
        <f>+SUM(E326:E$501)</f>
        <v>5804.0254734879081</v>
      </c>
      <c r="N325" s="914">
        <f>+SUM(F326:F$501)</f>
        <v>14.787032984770802</v>
      </c>
      <c r="O325" s="914">
        <f>+SUM(G326:G$501)</f>
        <v>6950.7308784305833</v>
      </c>
      <c r="P325" s="11">
        <f t="shared" si="31"/>
        <v>6.9449226127300001</v>
      </c>
      <c r="Q325" s="913">
        <f t="shared" si="32"/>
        <v>0</v>
      </c>
      <c r="R325" s="11">
        <f t="shared" si="33"/>
        <v>8.2169454054900004E-2</v>
      </c>
      <c r="S325" s="913">
        <f t="shared" si="34"/>
        <v>19</v>
      </c>
    </row>
    <row r="326" spans="1:19" x14ac:dyDescent="0.2">
      <c r="A326" s="11">
        <f t="shared" ref="A326:A389" si="35">1+A325</f>
        <v>324</v>
      </c>
      <c r="B326" s="11">
        <v>7.4477929661490005</v>
      </c>
      <c r="C326" s="11">
        <v>4.1170078893037996</v>
      </c>
      <c r="D326" s="11"/>
      <c r="E326" s="11">
        <v>15.397611934517551</v>
      </c>
      <c r="F326" s="11"/>
      <c r="G326" s="11">
        <v>26.962412789970351</v>
      </c>
      <c r="H326" s="11"/>
      <c r="I326" s="914">
        <f>+SUM(B327:B$501)</f>
        <v>744.91269688867976</v>
      </c>
      <c r="J326" s="914">
        <f>+SUM(C327:C$501)</f>
        <v>262.91972336964568</v>
      </c>
      <c r="K326" s="914">
        <f t="shared" si="30"/>
        <v>1007.8324202583254</v>
      </c>
      <c r="L326" s="914">
        <f>+SUM(D327:D$501)</f>
        <v>112.52115084412816</v>
      </c>
      <c r="M326" s="914">
        <f>+SUM(E327:E$501)</f>
        <v>5788.6278615533911</v>
      </c>
      <c r="N326" s="914">
        <f>+SUM(F327:F$501)</f>
        <v>14.787032984770802</v>
      </c>
      <c r="O326" s="914">
        <f>+SUM(G327:G$501)</f>
        <v>6923.7684656406136</v>
      </c>
      <c r="P326" s="11">
        <f t="shared" si="31"/>
        <v>15.397611934517551</v>
      </c>
      <c r="Q326" s="913">
        <f t="shared" si="32"/>
        <v>0</v>
      </c>
      <c r="R326" s="11">
        <f t="shared" si="33"/>
        <v>8.2169454054900004E-2</v>
      </c>
      <c r="S326" s="913">
        <f t="shared" si="34"/>
        <v>18</v>
      </c>
    </row>
    <row r="327" spans="1:19" x14ac:dyDescent="0.2">
      <c r="A327" s="11">
        <f t="shared" si="35"/>
        <v>325</v>
      </c>
      <c r="B327" s="11">
        <v>7.8524629667780008</v>
      </c>
      <c r="C327" s="11">
        <v>0.34270450513869999</v>
      </c>
      <c r="D327" s="11"/>
      <c r="E327" s="11">
        <v>18.161467095552002</v>
      </c>
      <c r="F327" s="11"/>
      <c r="G327" s="11">
        <v>26.356634567468703</v>
      </c>
      <c r="H327" s="11"/>
      <c r="I327" s="914">
        <f>+SUM(B328:B$501)</f>
        <v>737.06023392190173</v>
      </c>
      <c r="J327" s="914">
        <f>+SUM(C328:C$501)</f>
        <v>262.57701886450695</v>
      </c>
      <c r="K327" s="914">
        <f t="shared" si="30"/>
        <v>999.63725278640868</v>
      </c>
      <c r="L327" s="914">
        <f>+SUM(D328:D$501)</f>
        <v>112.52115084412816</v>
      </c>
      <c r="M327" s="914">
        <f>+SUM(E328:E$501)</f>
        <v>5770.4663944578397</v>
      </c>
      <c r="N327" s="914">
        <f>+SUM(F328:F$501)</f>
        <v>14.787032984770802</v>
      </c>
      <c r="O327" s="914">
        <f>+SUM(G328:G$501)</f>
        <v>6897.4118310731437</v>
      </c>
      <c r="P327" s="11">
        <f t="shared" si="31"/>
        <v>18.161467095552002</v>
      </c>
      <c r="Q327" s="913">
        <f t="shared" si="32"/>
        <v>0</v>
      </c>
      <c r="R327" s="11">
        <f t="shared" si="33"/>
        <v>8.2169454054900004E-2</v>
      </c>
      <c r="S327" s="913">
        <f t="shared" si="34"/>
        <v>17</v>
      </c>
    </row>
    <row r="328" spans="1:19" x14ac:dyDescent="0.2">
      <c r="A328" s="11">
        <f t="shared" si="35"/>
        <v>326</v>
      </c>
      <c r="B328" s="11">
        <v>4.1507854839771996</v>
      </c>
      <c r="C328" s="11"/>
      <c r="D328" s="11"/>
      <c r="E328" s="11">
        <v>19.876119599199999</v>
      </c>
      <c r="F328" s="11"/>
      <c r="G328" s="11">
        <v>24.026905083177198</v>
      </c>
      <c r="H328" s="11"/>
      <c r="I328" s="914">
        <f>+SUM(B329:B$501)</f>
        <v>732.90944843792442</v>
      </c>
      <c r="J328" s="914">
        <f>+SUM(C329:C$501)</f>
        <v>262.57701886450695</v>
      </c>
      <c r="K328" s="914">
        <f t="shared" si="30"/>
        <v>995.48646730243138</v>
      </c>
      <c r="L328" s="914">
        <f>+SUM(D329:D$501)</f>
        <v>112.52115084412816</v>
      </c>
      <c r="M328" s="914">
        <f>+SUM(E329:E$501)</f>
        <v>5750.5902748586386</v>
      </c>
      <c r="N328" s="914">
        <f>+SUM(F329:F$501)</f>
        <v>14.787032984770802</v>
      </c>
      <c r="O328" s="914">
        <f>+SUM(G329:G$501)</f>
        <v>6873.384925989968</v>
      </c>
      <c r="P328" s="11">
        <f t="shared" si="31"/>
        <v>19.876119599199999</v>
      </c>
      <c r="Q328" s="913">
        <f t="shared" si="32"/>
        <v>0</v>
      </c>
      <c r="R328" s="11">
        <f t="shared" si="33"/>
        <v>8.2169454054900004E-2</v>
      </c>
      <c r="S328" s="913">
        <f t="shared" si="34"/>
        <v>16</v>
      </c>
    </row>
    <row r="329" spans="1:19" x14ac:dyDescent="0.2">
      <c r="A329" s="11">
        <f t="shared" si="35"/>
        <v>327</v>
      </c>
      <c r="B329" s="11">
        <v>2.4633678238450005</v>
      </c>
      <c r="C329" s="11"/>
      <c r="D329" s="11"/>
      <c r="E329" s="11">
        <v>19.682012950602999</v>
      </c>
      <c r="F329" s="11"/>
      <c r="G329" s="11">
        <v>22.145380774448</v>
      </c>
      <c r="H329" s="11"/>
      <c r="I329" s="914">
        <f>+SUM(B330:B$501)</f>
        <v>730.44608061407951</v>
      </c>
      <c r="J329" s="914">
        <f>+SUM(C330:C$501)</f>
        <v>262.57701886450695</v>
      </c>
      <c r="K329" s="914">
        <f t="shared" si="30"/>
        <v>993.02309947858646</v>
      </c>
      <c r="L329" s="914">
        <f>+SUM(D330:D$501)</f>
        <v>112.52115084412816</v>
      </c>
      <c r="M329" s="914">
        <f>+SUM(E330:E$501)</f>
        <v>5730.9082619080373</v>
      </c>
      <c r="N329" s="914">
        <f>+SUM(F330:F$501)</f>
        <v>14.787032984770802</v>
      </c>
      <c r="O329" s="914">
        <f>+SUM(G330:G$501)</f>
        <v>6851.2395452155188</v>
      </c>
      <c r="P329" s="11">
        <f t="shared" si="31"/>
        <v>19.682012950602999</v>
      </c>
      <c r="Q329" s="913">
        <f t="shared" si="32"/>
        <v>0</v>
      </c>
      <c r="R329" s="11">
        <f t="shared" si="33"/>
        <v>8.2169454054900004E-2</v>
      </c>
      <c r="S329" s="913">
        <f t="shared" si="34"/>
        <v>15</v>
      </c>
    </row>
    <row r="330" spans="1:19" x14ac:dyDescent="0.2">
      <c r="A330" s="11">
        <f t="shared" si="35"/>
        <v>328</v>
      </c>
      <c r="B330" s="11">
        <v>5.5393658499046001</v>
      </c>
      <c r="C330" s="11"/>
      <c r="D330" s="11"/>
      <c r="E330" s="11">
        <v>15.747659111114</v>
      </c>
      <c r="F330" s="11"/>
      <c r="G330" s="11">
        <v>21.287024961018602</v>
      </c>
      <c r="H330" s="11"/>
      <c r="I330" s="914">
        <f>+SUM(B331:B$501)</f>
        <v>724.90671476417492</v>
      </c>
      <c r="J330" s="914">
        <f>+SUM(C331:C$501)</f>
        <v>262.57701886450695</v>
      </c>
      <c r="K330" s="914">
        <f t="shared" si="30"/>
        <v>987.48373362868188</v>
      </c>
      <c r="L330" s="914">
        <f>+SUM(D331:D$501)</f>
        <v>112.52115084412816</v>
      </c>
      <c r="M330" s="914">
        <f>+SUM(E331:E$501)</f>
        <v>5715.1606027969237</v>
      </c>
      <c r="N330" s="914">
        <f>+SUM(F331:F$501)</f>
        <v>14.787032984770802</v>
      </c>
      <c r="O330" s="914">
        <f>+SUM(G331:G$501)</f>
        <v>6829.9525202545001</v>
      </c>
      <c r="P330" s="11">
        <f t="shared" si="31"/>
        <v>15.747659111114</v>
      </c>
      <c r="Q330" s="913">
        <f t="shared" si="32"/>
        <v>0</v>
      </c>
      <c r="R330" s="11">
        <f t="shared" si="33"/>
        <v>8.2169454054900004E-2</v>
      </c>
      <c r="S330" s="913">
        <f t="shared" si="34"/>
        <v>14</v>
      </c>
    </row>
    <row r="331" spans="1:19" x14ac:dyDescent="0.2">
      <c r="A331" s="11">
        <f t="shared" si="35"/>
        <v>329</v>
      </c>
      <c r="B331" s="11">
        <v>4.1791151769999022</v>
      </c>
      <c r="C331" s="11"/>
      <c r="D331" s="11"/>
      <c r="E331" s="11">
        <v>16.888194340557</v>
      </c>
      <c r="F331" s="11"/>
      <c r="G331" s="11">
        <v>21.0673095175569</v>
      </c>
      <c r="H331" s="11"/>
      <c r="I331" s="914">
        <f>+SUM(B332:B$501)</f>
        <v>720.72759958717495</v>
      </c>
      <c r="J331" s="914">
        <f>+SUM(C332:C$501)</f>
        <v>262.57701886450695</v>
      </c>
      <c r="K331" s="914">
        <f t="shared" si="30"/>
        <v>983.3046184516819</v>
      </c>
      <c r="L331" s="914">
        <f>+SUM(D332:D$501)</f>
        <v>112.52115084412816</v>
      </c>
      <c r="M331" s="914">
        <f>+SUM(E332:E$501)</f>
        <v>5698.2724084563661</v>
      </c>
      <c r="N331" s="914">
        <f>+SUM(F332:F$501)</f>
        <v>14.787032984770802</v>
      </c>
      <c r="O331" s="914">
        <f>+SUM(G332:G$501)</f>
        <v>6808.885210736943</v>
      </c>
      <c r="P331" s="11">
        <f t="shared" si="31"/>
        <v>16.888194340557</v>
      </c>
      <c r="Q331" s="913">
        <f t="shared" si="32"/>
        <v>0</v>
      </c>
      <c r="R331" s="11">
        <f t="shared" si="33"/>
        <v>8.2169454054900004E-2</v>
      </c>
      <c r="S331" s="913">
        <f t="shared" si="34"/>
        <v>13</v>
      </c>
    </row>
    <row r="332" spans="1:19" x14ac:dyDescent="0.2">
      <c r="A332" s="11">
        <f t="shared" si="35"/>
        <v>330</v>
      </c>
      <c r="B332" s="11">
        <v>5.4773836566078202</v>
      </c>
      <c r="C332" s="11"/>
      <c r="D332" s="11"/>
      <c r="E332" s="11">
        <v>14.834499073926411</v>
      </c>
      <c r="F332" s="11"/>
      <c r="G332" s="11">
        <v>20.311882730534229</v>
      </c>
      <c r="H332" s="11"/>
      <c r="I332" s="914">
        <f>+SUM(B333:B$501)</f>
        <v>715.25021593056715</v>
      </c>
      <c r="J332" s="914">
        <f>+SUM(C333:C$501)</f>
        <v>262.57701886450695</v>
      </c>
      <c r="K332" s="914">
        <f t="shared" si="30"/>
        <v>977.82723479507411</v>
      </c>
      <c r="L332" s="914">
        <f>+SUM(D333:D$501)</f>
        <v>112.52115084412816</v>
      </c>
      <c r="M332" s="914">
        <f>+SUM(E333:E$501)</f>
        <v>5683.43790938244</v>
      </c>
      <c r="N332" s="914">
        <f>+SUM(F333:F$501)</f>
        <v>14.787032984770802</v>
      </c>
      <c r="O332" s="914">
        <f>+SUM(G333:G$501)</f>
        <v>6788.5733280064096</v>
      </c>
      <c r="P332" s="11">
        <f t="shared" si="31"/>
        <v>14.834499073926411</v>
      </c>
      <c r="Q332" s="913">
        <f t="shared" si="32"/>
        <v>0</v>
      </c>
      <c r="R332" s="11">
        <f t="shared" si="33"/>
        <v>8.2169454054900004E-2</v>
      </c>
      <c r="S332" s="913">
        <f t="shared" si="34"/>
        <v>12</v>
      </c>
    </row>
    <row r="333" spans="1:19" x14ac:dyDescent="0.2">
      <c r="A333" s="11">
        <f t="shared" si="35"/>
        <v>331</v>
      </c>
      <c r="B333" s="11">
        <v>7.2700421964141002</v>
      </c>
      <c r="C333" s="11"/>
      <c r="D333" s="11"/>
      <c r="E333" s="11">
        <v>11.931540723440001</v>
      </c>
      <c r="F333" s="11"/>
      <c r="G333" s="11">
        <v>19.201582919854101</v>
      </c>
      <c r="H333" s="11"/>
      <c r="I333" s="914">
        <f>+SUM(B334:B$501)</f>
        <v>707.98017373415314</v>
      </c>
      <c r="J333" s="914">
        <f>+SUM(C334:C$501)</f>
        <v>262.57701886450695</v>
      </c>
      <c r="K333" s="914">
        <f t="shared" si="30"/>
        <v>970.55719259866009</v>
      </c>
      <c r="L333" s="914">
        <f>+SUM(D334:D$501)</f>
        <v>112.52115084412816</v>
      </c>
      <c r="M333" s="914">
        <f>+SUM(E334:E$501)</f>
        <v>5671.5063686589992</v>
      </c>
      <c r="N333" s="914">
        <f>+SUM(F334:F$501)</f>
        <v>14.787032984770802</v>
      </c>
      <c r="O333" s="914">
        <f>+SUM(G334:G$501)</f>
        <v>6769.3717450865561</v>
      </c>
      <c r="P333" s="11">
        <f t="shared" si="31"/>
        <v>11.931540723440001</v>
      </c>
      <c r="Q333" s="913">
        <f t="shared" si="32"/>
        <v>0</v>
      </c>
      <c r="R333" s="11">
        <f t="shared" si="33"/>
        <v>8.2169454054900004E-2</v>
      </c>
      <c r="S333" s="913">
        <f t="shared" si="34"/>
        <v>11</v>
      </c>
    </row>
    <row r="334" spans="1:19" x14ac:dyDescent="0.2">
      <c r="A334" s="11">
        <f t="shared" si="35"/>
        <v>332</v>
      </c>
      <c r="B334" s="11">
        <v>11.678359387714698</v>
      </c>
      <c r="C334" s="11"/>
      <c r="D334" s="11"/>
      <c r="E334" s="11">
        <v>5.7771529846659995</v>
      </c>
      <c r="F334" s="11"/>
      <c r="G334" s="11">
        <v>17.455512372380696</v>
      </c>
      <c r="H334" s="11"/>
      <c r="I334" s="914">
        <f>+SUM(B335:B$501)</f>
        <v>696.30181434643828</v>
      </c>
      <c r="J334" s="914">
        <f>+SUM(C335:C$501)</f>
        <v>262.57701886450695</v>
      </c>
      <c r="K334" s="914">
        <f t="shared" si="30"/>
        <v>958.87883321094523</v>
      </c>
      <c r="L334" s="914">
        <f>+SUM(D335:D$501)</f>
        <v>112.52115084412816</v>
      </c>
      <c r="M334" s="914">
        <f>+SUM(E335:E$501)</f>
        <v>5665.7292156743324</v>
      </c>
      <c r="N334" s="914">
        <f>+SUM(F335:F$501)</f>
        <v>14.787032984770802</v>
      </c>
      <c r="O334" s="914">
        <f>+SUM(G335:G$501)</f>
        <v>6751.9162327141757</v>
      </c>
      <c r="P334" s="11">
        <f t="shared" si="31"/>
        <v>5.7771529846659995</v>
      </c>
      <c r="Q334" s="913">
        <f t="shared" si="32"/>
        <v>0</v>
      </c>
      <c r="R334" s="11">
        <f t="shared" si="33"/>
        <v>8.2169454054900004E-2</v>
      </c>
      <c r="S334" s="913">
        <f t="shared" si="34"/>
        <v>10</v>
      </c>
    </row>
    <row r="335" spans="1:19" x14ac:dyDescent="0.2">
      <c r="A335" s="11">
        <f t="shared" si="35"/>
        <v>333</v>
      </c>
      <c r="B335" s="11">
        <v>12.48247435255</v>
      </c>
      <c r="C335" s="11"/>
      <c r="D335" s="11"/>
      <c r="E335" s="11">
        <v>2.676021577447</v>
      </c>
      <c r="F335" s="11"/>
      <c r="G335" s="11">
        <v>15.158495929996999</v>
      </c>
      <c r="H335" s="11"/>
      <c r="I335" s="914">
        <f>+SUM(B336:B$501)</f>
        <v>683.81933999388832</v>
      </c>
      <c r="J335" s="914">
        <f>+SUM(C336:C$501)</f>
        <v>262.57701886450695</v>
      </c>
      <c r="K335" s="914">
        <f t="shared" si="30"/>
        <v>946.39635885839527</v>
      </c>
      <c r="L335" s="914">
        <f>+SUM(D336:D$501)</f>
        <v>112.52115084412816</v>
      </c>
      <c r="M335" s="914">
        <f>+SUM(E336:E$501)</f>
        <v>5663.0531940968858</v>
      </c>
      <c r="N335" s="914">
        <f>+SUM(F336:F$501)</f>
        <v>14.787032984770802</v>
      </c>
      <c r="O335" s="914">
        <f>+SUM(G336:G$501)</f>
        <v>6736.7577367841777</v>
      </c>
      <c r="P335" s="11">
        <f t="shared" si="31"/>
        <v>2.676021577447</v>
      </c>
      <c r="Q335" s="913">
        <f t="shared" si="32"/>
        <v>0</v>
      </c>
      <c r="R335" s="11">
        <f t="shared" si="33"/>
        <v>8.2169454054900004E-2</v>
      </c>
      <c r="S335" s="913">
        <f t="shared" si="34"/>
        <v>9</v>
      </c>
    </row>
    <row r="336" spans="1:19" x14ac:dyDescent="0.2">
      <c r="A336" s="11">
        <f t="shared" si="35"/>
        <v>334</v>
      </c>
      <c r="B336" s="11">
        <v>5.5654731018200794</v>
      </c>
      <c r="C336" s="11"/>
      <c r="D336" s="11"/>
      <c r="E336" s="11">
        <v>7.1793101679699998</v>
      </c>
      <c r="F336" s="11"/>
      <c r="G336" s="11">
        <v>12.74478326979008</v>
      </c>
      <c r="H336" s="11"/>
      <c r="I336" s="914">
        <f>+SUM(B337:B$501)</f>
        <v>678.25386689206823</v>
      </c>
      <c r="J336" s="914">
        <f>+SUM(C337:C$501)</f>
        <v>262.57701886450695</v>
      </c>
      <c r="K336" s="914">
        <f t="shared" si="30"/>
        <v>940.83088575657519</v>
      </c>
      <c r="L336" s="914">
        <f>+SUM(D337:D$501)</f>
        <v>112.52115084412816</v>
      </c>
      <c r="M336" s="914">
        <f>+SUM(E337:E$501)</f>
        <v>5655.8738839289153</v>
      </c>
      <c r="N336" s="914">
        <f>+SUM(F337:F$501)</f>
        <v>14.787032984770802</v>
      </c>
      <c r="O336" s="914">
        <f>+SUM(G337:G$501)</f>
        <v>6724.0129535143888</v>
      </c>
      <c r="P336" s="11">
        <f t="shared" si="31"/>
        <v>7.1793101679699998</v>
      </c>
      <c r="Q336" s="913">
        <f t="shared" si="32"/>
        <v>0</v>
      </c>
      <c r="R336" s="11">
        <f t="shared" si="33"/>
        <v>8.2169454054900004E-2</v>
      </c>
      <c r="S336" s="913">
        <f t="shared" si="34"/>
        <v>8</v>
      </c>
    </row>
    <row r="337" spans="1:19" x14ac:dyDescent="0.2">
      <c r="A337" s="11">
        <f t="shared" si="35"/>
        <v>335</v>
      </c>
      <c r="B337" s="11">
        <v>4.2608899312204001</v>
      </c>
      <c r="C337" s="11"/>
      <c r="D337" s="11"/>
      <c r="E337" s="11">
        <v>7.3364104937499999</v>
      </c>
      <c r="F337" s="11"/>
      <c r="G337" s="11">
        <v>11.597300424970399</v>
      </c>
      <c r="H337" s="11"/>
      <c r="I337" s="914">
        <f>+SUM(B338:B$501)</f>
        <v>673.99297696084784</v>
      </c>
      <c r="J337" s="914">
        <f>+SUM(C338:C$501)</f>
        <v>262.57701886450695</v>
      </c>
      <c r="K337" s="914">
        <f t="shared" si="30"/>
        <v>936.56999582535479</v>
      </c>
      <c r="L337" s="914">
        <f>+SUM(D338:D$501)</f>
        <v>112.52115084412816</v>
      </c>
      <c r="M337" s="914">
        <f>+SUM(E338:E$501)</f>
        <v>5648.5374734351653</v>
      </c>
      <c r="N337" s="914">
        <f>+SUM(F338:F$501)</f>
        <v>14.787032984770802</v>
      </c>
      <c r="O337" s="914">
        <f>+SUM(G338:G$501)</f>
        <v>6712.415653089417</v>
      </c>
      <c r="P337" s="11">
        <f t="shared" si="31"/>
        <v>7.3364104937499999</v>
      </c>
      <c r="Q337" s="913">
        <f t="shared" si="32"/>
        <v>0</v>
      </c>
      <c r="R337" s="11">
        <f t="shared" si="33"/>
        <v>8.2169454054900004E-2</v>
      </c>
      <c r="S337" s="913">
        <f t="shared" si="34"/>
        <v>7</v>
      </c>
    </row>
    <row r="338" spans="1:19" x14ac:dyDescent="0.2">
      <c r="A338" s="11">
        <f t="shared" si="35"/>
        <v>336</v>
      </c>
      <c r="B338" s="11">
        <v>3.1325480396280003</v>
      </c>
      <c r="C338" s="11"/>
      <c r="D338" s="11"/>
      <c r="E338" s="11">
        <v>7.6917955757399996</v>
      </c>
      <c r="F338" s="11"/>
      <c r="G338" s="11">
        <v>10.824343615368001</v>
      </c>
      <c r="H338" s="11"/>
      <c r="I338" s="914">
        <f>+SUM(B339:B$501)</f>
        <v>670.86042892121986</v>
      </c>
      <c r="J338" s="914">
        <f>+SUM(C339:C$501)</f>
        <v>262.57701886450695</v>
      </c>
      <c r="K338" s="914">
        <f t="shared" si="30"/>
        <v>933.43744778572682</v>
      </c>
      <c r="L338" s="914">
        <f>+SUM(D339:D$501)</f>
        <v>112.52115084412816</v>
      </c>
      <c r="M338" s="914">
        <f>+SUM(E339:E$501)</f>
        <v>5640.8456778594255</v>
      </c>
      <c r="N338" s="914">
        <f>+SUM(F339:F$501)</f>
        <v>14.787032984770802</v>
      </c>
      <c r="O338" s="914">
        <f>+SUM(G339:G$501)</f>
        <v>6701.591309474049</v>
      </c>
      <c r="P338" s="11">
        <f t="shared" si="31"/>
        <v>7.6917955757399996</v>
      </c>
      <c r="Q338" s="913">
        <f t="shared" si="32"/>
        <v>0</v>
      </c>
      <c r="R338" s="11">
        <f t="shared" si="33"/>
        <v>8.2169454054900004E-2</v>
      </c>
      <c r="S338" s="913">
        <f t="shared" si="34"/>
        <v>6</v>
      </c>
    </row>
    <row r="339" spans="1:19" x14ac:dyDescent="0.2">
      <c r="A339" s="11">
        <f t="shared" si="35"/>
        <v>337</v>
      </c>
      <c r="B339" s="11">
        <v>1.9434657789025001</v>
      </c>
      <c r="C339" s="11"/>
      <c r="D339" s="11"/>
      <c r="E339" s="11">
        <v>7.9686589315800003</v>
      </c>
      <c r="F339" s="11"/>
      <c r="G339" s="11">
        <v>9.9121247104824999</v>
      </c>
      <c r="H339" s="11"/>
      <c r="I339" s="914">
        <f>+SUM(B340:B$501)</f>
        <v>668.91696314231729</v>
      </c>
      <c r="J339" s="914">
        <f>+SUM(C340:C$501)</f>
        <v>262.57701886450695</v>
      </c>
      <c r="K339" s="914">
        <f t="shared" si="30"/>
        <v>931.49398200682424</v>
      </c>
      <c r="L339" s="914">
        <f>+SUM(D340:D$501)</f>
        <v>112.52115084412816</v>
      </c>
      <c r="M339" s="914">
        <f>+SUM(E340:E$501)</f>
        <v>5632.8770189278466</v>
      </c>
      <c r="N339" s="914">
        <f>+SUM(F340:F$501)</f>
        <v>14.787032984770802</v>
      </c>
      <c r="O339" s="914">
        <f>+SUM(G340:G$501)</f>
        <v>6691.6791847635659</v>
      </c>
      <c r="P339" s="11">
        <f t="shared" si="31"/>
        <v>7.9686589315800003</v>
      </c>
      <c r="Q339" s="913">
        <f t="shared" si="32"/>
        <v>0</v>
      </c>
      <c r="R339" s="11">
        <f t="shared" si="33"/>
        <v>8.2169454054900004E-2</v>
      </c>
      <c r="S339" s="913">
        <f t="shared" si="34"/>
        <v>5</v>
      </c>
    </row>
    <row r="340" spans="1:19" x14ac:dyDescent="0.2">
      <c r="A340" s="11">
        <f t="shared" si="35"/>
        <v>338</v>
      </c>
      <c r="B340" s="11">
        <v>2.7835536474743403</v>
      </c>
      <c r="C340" s="11"/>
      <c r="D340" s="11"/>
      <c r="E340" s="11">
        <v>6.2562778773299996</v>
      </c>
      <c r="F340" s="11"/>
      <c r="G340" s="11">
        <v>9.0398315248043399</v>
      </c>
      <c r="H340" s="11"/>
      <c r="I340" s="914">
        <f>+SUM(B341:B$501)</f>
        <v>666.13340949484302</v>
      </c>
      <c r="J340" s="914">
        <f>+SUM(C341:C$501)</f>
        <v>262.57701886450695</v>
      </c>
      <c r="K340" s="914">
        <f t="shared" si="30"/>
        <v>928.71042835934998</v>
      </c>
      <c r="L340" s="914">
        <f>+SUM(D341:D$501)</f>
        <v>112.52115084412816</v>
      </c>
      <c r="M340" s="914">
        <f>+SUM(E341:E$501)</f>
        <v>5626.6207410505167</v>
      </c>
      <c r="N340" s="914">
        <f>+SUM(F341:F$501)</f>
        <v>14.787032984770802</v>
      </c>
      <c r="O340" s="914">
        <f>+SUM(G341:G$501)</f>
        <v>6682.6393532387638</v>
      </c>
      <c r="P340" s="11">
        <f t="shared" si="31"/>
        <v>6.2562778773299996</v>
      </c>
      <c r="Q340" s="913">
        <f t="shared" si="32"/>
        <v>0</v>
      </c>
      <c r="R340" s="11">
        <f t="shared" si="33"/>
        <v>8.2169454054900004E-2</v>
      </c>
      <c r="S340" s="913">
        <f t="shared" si="34"/>
        <v>4</v>
      </c>
    </row>
    <row r="341" spans="1:19" x14ac:dyDescent="0.2">
      <c r="A341" s="11">
        <f t="shared" si="35"/>
        <v>339</v>
      </c>
      <c r="B341" s="11">
        <v>4.4107340685239995</v>
      </c>
      <c r="C341" s="11"/>
      <c r="D341" s="11"/>
      <c r="E341" s="11">
        <v>5.3498996330799997</v>
      </c>
      <c r="F341" s="11"/>
      <c r="G341" s="11">
        <v>9.7606337016040001</v>
      </c>
      <c r="H341" s="11"/>
      <c r="I341" s="914">
        <f>+SUM(B342:B$501)</f>
        <v>661.72267542631892</v>
      </c>
      <c r="J341" s="914">
        <f>+SUM(C342:C$501)</f>
        <v>262.57701886450695</v>
      </c>
      <c r="K341" s="914">
        <f t="shared" si="30"/>
        <v>924.29969429082587</v>
      </c>
      <c r="L341" s="914">
        <f>+SUM(D342:D$501)</f>
        <v>112.52115084412816</v>
      </c>
      <c r="M341" s="914">
        <f>+SUM(E342:E$501)</f>
        <v>5621.2708414174367</v>
      </c>
      <c r="N341" s="914">
        <f>+SUM(F342:F$501)</f>
        <v>14.787032984770802</v>
      </c>
      <c r="O341" s="914">
        <f>+SUM(G342:G$501)</f>
        <v>6672.8787195371597</v>
      </c>
      <c r="P341" s="11">
        <f t="shared" si="31"/>
        <v>5.3498996330799997</v>
      </c>
      <c r="Q341" s="913">
        <f t="shared" si="32"/>
        <v>0</v>
      </c>
      <c r="R341" s="11">
        <f t="shared" si="33"/>
        <v>8.2169454054900004E-2</v>
      </c>
      <c r="S341" s="913">
        <f t="shared" si="34"/>
        <v>3</v>
      </c>
    </row>
    <row r="342" spans="1:19" x14ac:dyDescent="0.2">
      <c r="A342" s="11">
        <f t="shared" si="35"/>
        <v>340</v>
      </c>
      <c r="B342" s="11">
        <v>0.91522317493600003</v>
      </c>
      <c r="C342" s="11"/>
      <c r="D342" s="11"/>
      <c r="E342" s="11">
        <v>11.8877939663</v>
      </c>
      <c r="F342" s="11"/>
      <c r="G342" s="11">
        <v>12.803017141236001</v>
      </c>
      <c r="H342" s="11"/>
      <c r="I342" s="914">
        <f>+SUM(B343:B$501)</f>
        <v>660.80745225138287</v>
      </c>
      <c r="J342" s="914">
        <f>+SUM(C343:C$501)</f>
        <v>262.57701886450695</v>
      </c>
      <c r="K342" s="914">
        <f t="shared" si="30"/>
        <v>923.38447111588982</v>
      </c>
      <c r="L342" s="914">
        <f>+SUM(D343:D$501)</f>
        <v>112.52115084412816</v>
      </c>
      <c r="M342" s="914">
        <f>+SUM(E343:E$501)</f>
        <v>5609.3830474511369</v>
      </c>
      <c r="N342" s="914">
        <f>+SUM(F343:F$501)</f>
        <v>14.787032984770802</v>
      </c>
      <c r="O342" s="914">
        <f>+SUM(G343:G$501)</f>
        <v>6660.0757023959222</v>
      </c>
      <c r="P342" s="11">
        <f t="shared" si="31"/>
        <v>11.8877939663</v>
      </c>
      <c r="Q342" s="913">
        <f t="shared" si="32"/>
        <v>0</v>
      </c>
      <c r="R342" s="11">
        <f t="shared" si="33"/>
        <v>8.2169454054900004E-2</v>
      </c>
      <c r="S342" s="913">
        <f t="shared" si="34"/>
        <v>2</v>
      </c>
    </row>
    <row r="343" spans="1:19" x14ac:dyDescent="0.2">
      <c r="A343" s="11">
        <f t="shared" si="35"/>
        <v>341</v>
      </c>
      <c r="B343" s="11">
        <v>0.57163882598099991</v>
      </c>
      <c r="C343" s="11"/>
      <c r="D343" s="11"/>
      <c r="E343" s="11">
        <v>14.692910814499999</v>
      </c>
      <c r="F343" s="11"/>
      <c r="G343" s="11">
        <v>15.264549640480999</v>
      </c>
      <c r="H343" s="11"/>
      <c r="I343" s="914">
        <f>+SUM(B344:B$501)</f>
        <v>660.23581342540194</v>
      </c>
      <c r="J343" s="914">
        <f>+SUM(C344:C$501)</f>
        <v>262.57701886450695</v>
      </c>
      <c r="K343" s="914">
        <f t="shared" si="30"/>
        <v>922.8128322899089</v>
      </c>
      <c r="L343" s="914">
        <f>+SUM(D344:D$501)</f>
        <v>112.52115084412816</v>
      </c>
      <c r="M343" s="914">
        <f>+SUM(E344:E$501)</f>
        <v>5594.6901366366355</v>
      </c>
      <c r="N343" s="914">
        <f>+SUM(F344:F$501)</f>
        <v>14.787032984770802</v>
      </c>
      <c r="O343" s="914">
        <f>+SUM(G344:G$501)</f>
        <v>6644.811152755442</v>
      </c>
      <c r="P343" s="11">
        <f t="shared" si="31"/>
        <v>14.692910814499999</v>
      </c>
      <c r="Q343" s="913">
        <f t="shared" si="32"/>
        <v>0</v>
      </c>
      <c r="R343" s="11">
        <f t="shared" si="33"/>
        <v>8.2169454054900004E-2</v>
      </c>
      <c r="S343" s="913">
        <f t="shared" si="34"/>
        <v>1</v>
      </c>
    </row>
    <row r="344" spans="1:19" x14ac:dyDescent="0.2">
      <c r="A344" s="11">
        <f t="shared" si="35"/>
        <v>342</v>
      </c>
      <c r="B344" s="11">
        <v>2.2522769486784</v>
      </c>
      <c r="C344" s="11"/>
      <c r="D344" s="11"/>
      <c r="E344" s="11">
        <v>14.391512555</v>
      </c>
      <c r="F344" s="11">
        <v>8.2169454054900004E-2</v>
      </c>
      <c r="G344" s="11">
        <v>16.725958957733297</v>
      </c>
      <c r="H344" s="11"/>
      <c r="I344" s="914">
        <f>+SUM(B345:B$501)</f>
        <v>657.98353647672354</v>
      </c>
      <c r="J344" s="914">
        <f>+SUM(C345:C$501)</f>
        <v>262.57701886450695</v>
      </c>
      <c r="K344" s="914">
        <f t="shared" si="30"/>
        <v>920.5605553412305</v>
      </c>
      <c r="L344" s="914">
        <f>+SUM(D345:D$501)</f>
        <v>112.52115084412816</v>
      </c>
      <c r="M344" s="914">
        <f>+SUM(E345:E$501)</f>
        <v>5580.2986240816363</v>
      </c>
      <c r="N344" s="914">
        <f>+SUM(F345:F$501)</f>
        <v>14.704863530715901</v>
      </c>
      <c r="O344" s="914">
        <f>+SUM(G345:G$501)</f>
        <v>6628.0851937977086</v>
      </c>
      <c r="P344" s="11">
        <f t="shared" si="31"/>
        <v>14.391512555</v>
      </c>
      <c r="Q344" s="913">
        <f t="shared" si="32"/>
        <v>0</v>
      </c>
      <c r="R344" s="11">
        <f t="shared" si="33"/>
        <v>8.2169454054900004E-2</v>
      </c>
      <c r="S344" s="913">
        <f t="shared" si="34"/>
        <v>0</v>
      </c>
    </row>
    <row r="345" spans="1:19" x14ac:dyDescent="0.2">
      <c r="A345" s="11">
        <f t="shared" si="35"/>
        <v>343</v>
      </c>
      <c r="B345" s="11">
        <v>4.3296578190179993</v>
      </c>
      <c r="C345" s="11"/>
      <c r="D345" s="11"/>
      <c r="E345" s="11">
        <v>13.258840572878</v>
      </c>
      <c r="F345" s="11">
        <v>2.7874592469900001E-2</v>
      </c>
      <c r="G345" s="11">
        <v>17.616372984365899</v>
      </c>
      <c r="H345" s="11"/>
      <c r="I345" s="914">
        <f>+SUM(B346:B$501)</f>
        <v>653.65387865770549</v>
      </c>
      <c r="J345" s="914">
        <f>+SUM(C346:C$501)</f>
        <v>262.57701886450695</v>
      </c>
      <c r="K345" s="914">
        <f t="shared" si="30"/>
        <v>916.23089752221244</v>
      </c>
      <c r="L345" s="914">
        <f>+SUM(D346:D$501)</f>
        <v>112.52115084412816</v>
      </c>
      <c r="M345" s="914">
        <f>+SUM(E346:E$501)</f>
        <v>5567.0397835087579</v>
      </c>
      <c r="N345" s="914">
        <f>+SUM(F346:F$501)</f>
        <v>14.676988938246001</v>
      </c>
      <c r="O345" s="914">
        <f>+SUM(G346:G$501)</f>
        <v>6610.4688208133421</v>
      </c>
      <c r="P345" s="11">
        <f t="shared" si="31"/>
        <v>13.258840572878</v>
      </c>
      <c r="Q345" s="913">
        <f t="shared" si="32"/>
        <v>0</v>
      </c>
      <c r="R345" s="11">
        <f t="shared" si="33"/>
        <v>2.7874592469900001E-2</v>
      </c>
      <c r="S345" s="913">
        <f t="shared" si="34"/>
        <v>0</v>
      </c>
    </row>
    <row r="346" spans="1:19" x14ac:dyDescent="0.2">
      <c r="A346" s="11">
        <f t="shared" si="35"/>
        <v>344</v>
      </c>
      <c r="B346" s="11">
        <v>5.0931962697460005</v>
      </c>
      <c r="C346" s="11"/>
      <c r="D346" s="11"/>
      <c r="E346" s="11">
        <v>10.969503733342599</v>
      </c>
      <c r="F346" s="11"/>
      <c r="G346" s="11">
        <v>16.062700003088601</v>
      </c>
      <c r="H346" s="11"/>
      <c r="I346" s="914">
        <f>+SUM(B347:B$501)</f>
        <v>648.56068238795956</v>
      </c>
      <c r="J346" s="914">
        <f>+SUM(C347:C$501)</f>
        <v>262.57701886450695</v>
      </c>
      <c r="K346" s="914">
        <f t="shared" si="30"/>
        <v>911.13770125246651</v>
      </c>
      <c r="L346" s="914">
        <f>+SUM(D347:D$501)</f>
        <v>112.52115084412816</v>
      </c>
      <c r="M346" s="914">
        <f>+SUM(E347:E$501)</f>
        <v>5556.0702797754157</v>
      </c>
      <c r="N346" s="914">
        <f>+SUM(F347:F$501)</f>
        <v>14.676988938246001</v>
      </c>
      <c r="O346" s="914">
        <f>+SUM(G347:G$501)</f>
        <v>6594.4061208102548</v>
      </c>
      <c r="P346" s="11">
        <f t="shared" si="31"/>
        <v>10.969503733342599</v>
      </c>
      <c r="Q346" s="913">
        <f t="shared" si="32"/>
        <v>0</v>
      </c>
      <c r="R346" s="11">
        <f t="shared" si="33"/>
        <v>0.31749815139100002</v>
      </c>
      <c r="S346" s="913">
        <f t="shared" si="34"/>
        <v>111</v>
      </c>
    </row>
    <row r="347" spans="1:19" x14ac:dyDescent="0.2">
      <c r="A347" s="11">
        <f t="shared" si="35"/>
        <v>345</v>
      </c>
      <c r="B347" s="11">
        <v>1.036987575267359</v>
      </c>
      <c r="C347" s="11"/>
      <c r="D347" s="11"/>
      <c r="E347" s="11">
        <v>9.5340358232830003</v>
      </c>
      <c r="F347" s="11"/>
      <c r="G347" s="11">
        <v>10.571023398550359</v>
      </c>
      <c r="H347" s="11"/>
      <c r="I347" s="914">
        <f>+SUM(B348:B$501)</f>
        <v>647.52369481269216</v>
      </c>
      <c r="J347" s="914">
        <f>+SUM(C348:C$501)</f>
        <v>262.57701886450695</v>
      </c>
      <c r="K347" s="914">
        <f t="shared" si="30"/>
        <v>910.10071367719911</v>
      </c>
      <c r="L347" s="914">
        <f>+SUM(D348:D$501)</f>
        <v>112.52115084412816</v>
      </c>
      <c r="M347" s="914">
        <f>+SUM(E348:E$501)</f>
        <v>5546.5362439521332</v>
      </c>
      <c r="N347" s="914">
        <f>+SUM(F348:F$501)</f>
        <v>14.676988938246001</v>
      </c>
      <c r="O347" s="914">
        <f>+SUM(G348:G$501)</f>
        <v>6583.8350974117029</v>
      </c>
      <c r="P347" s="11">
        <f t="shared" si="31"/>
        <v>9.5340358232830003</v>
      </c>
      <c r="Q347" s="913">
        <f t="shared" si="32"/>
        <v>0</v>
      </c>
      <c r="R347" s="11">
        <f t="shared" si="33"/>
        <v>0.31749815139100002</v>
      </c>
      <c r="S347" s="913">
        <f t="shared" si="34"/>
        <v>110</v>
      </c>
    </row>
    <row r="348" spans="1:19" x14ac:dyDescent="0.2">
      <c r="A348" s="11">
        <f t="shared" si="35"/>
        <v>346</v>
      </c>
      <c r="B348" s="11">
        <v>1.6279072869446269</v>
      </c>
      <c r="C348" s="11"/>
      <c r="D348" s="11"/>
      <c r="E348" s="11">
        <v>6.01996519294</v>
      </c>
      <c r="F348" s="11"/>
      <c r="G348" s="11">
        <v>7.6478724798846267</v>
      </c>
      <c r="H348" s="11"/>
      <c r="I348" s="914">
        <f>+SUM(B349:B$501)</f>
        <v>645.89578752574755</v>
      </c>
      <c r="J348" s="914">
        <f>+SUM(C349:C$501)</f>
        <v>262.57701886450695</v>
      </c>
      <c r="K348" s="914">
        <f t="shared" si="30"/>
        <v>908.4728063902545</v>
      </c>
      <c r="L348" s="914">
        <f>+SUM(D349:D$501)</f>
        <v>112.52115084412816</v>
      </c>
      <c r="M348" s="914">
        <f>+SUM(E349:E$501)</f>
        <v>5540.5162787591935</v>
      </c>
      <c r="N348" s="914">
        <f>+SUM(F349:F$501)</f>
        <v>14.676988938246001</v>
      </c>
      <c r="O348" s="914">
        <f>+SUM(G349:G$501)</f>
        <v>6576.1872249318194</v>
      </c>
      <c r="P348" s="11">
        <f t="shared" si="31"/>
        <v>6.01996519294</v>
      </c>
      <c r="Q348" s="913">
        <f t="shared" si="32"/>
        <v>0</v>
      </c>
      <c r="R348" s="11">
        <f t="shared" si="33"/>
        <v>0.31749815139100002</v>
      </c>
      <c r="S348" s="913">
        <f t="shared" si="34"/>
        <v>109</v>
      </c>
    </row>
    <row r="349" spans="1:19" x14ac:dyDescent="0.2">
      <c r="A349" s="11">
        <f t="shared" si="35"/>
        <v>347</v>
      </c>
      <c r="B349" s="11">
        <v>4.0139000825742004</v>
      </c>
      <c r="C349" s="11"/>
      <c r="D349" s="11">
        <v>6.6890991727899998E-3</v>
      </c>
      <c r="E349" s="11">
        <v>2.2991488557261999</v>
      </c>
      <c r="F349" s="11"/>
      <c r="G349" s="11">
        <v>6.31973803747319</v>
      </c>
      <c r="H349" s="11"/>
      <c r="I349" s="914">
        <f>+SUM(B350:B$501)</f>
        <v>641.88188744317347</v>
      </c>
      <c r="J349" s="914">
        <f>+SUM(C350:C$501)</f>
        <v>262.57701886450695</v>
      </c>
      <c r="K349" s="914">
        <f t="shared" si="30"/>
        <v>904.45890630768042</v>
      </c>
      <c r="L349" s="914">
        <f>+SUM(D350:D$501)</f>
        <v>112.51446174495538</v>
      </c>
      <c r="M349" s="914">
        <f>+SUM(E350:E$501)</f>
        <v>5538.217129903468</v>
      </c>
      <c r="N349" s="914">
        <f>+SUM(F350:F$501)</f>
        <v>14.676988938246001</v>
      </c>
      <c r="O349" s="914">
        <f>+SUM(G350:G$501)</f>
        <v>6569.8674868943463</v>
      </c>
      <c r="P349" s="11">
        <f t="shared" si="31"/>
        <v>2.2991488557261999</v>
      </c>
      <c r="Q349" s="913">
        <f t="shared" si="32"/>
        <v>0</v>
      </c>
      <c r="R349" s="11">
        <f t="shared" si="33"/>
        <v>0.31749815139100002</v>
      </c>
      <c r="S349" s="913">
        <f t="shared" si="34"/>
        <v>108</v>
      </c>
    </row>
    <row r="350" spans="1:19" x14ac:dyDescent="0.2">
      <c r="A350" s="11">
        <f t="shared" si="35"/>
        <v>348</v>
      </c>
      <c r="B350" s="11">
        <v>1.261637906082</v>
      </c>
      <c r="C350" s="11">
        <v>0.84274473491400004</v>
      </c>
      <c r="D350" s="11">
        <v>0.29408248577200002</v>
      </c>
      <c r="E350" s="11">
        <v>3.3724924932734202</v>
      </c>
      <c r="F350" s="11"/>
      <c r="G350" s="11">
        <v>5.7709576200414201</v>
      </c>
      <c r="H350" s="11"/>
      <c r="I350" s="914">
        <f>+SUM(B351:B$501)</f>
        <v>640.62024953709147</v>
      </c>
      <c r="J350" s="914">
        <f>+SUM(C351:C$501)</f>
        <v>261.73427412959296</v>
      </c>
      <c r="K350" s="914">
        <f t="shared" si="30"/>
        <v>902.35452366668437</v>
      </c>
      <c r="L350" s="914">
        <f>+SUM(D351:D$501)</f>
        <v>112.22037925918337</v>
      </c>
      <c r="M350" s="914">
        <f>+SUM(E351:E$501)</f>
        <v>5534.8446374101941</v>
      </c>
      <c r="N350" s="914">
        <f>+SUM(F351:F$501)</f>
        <v>14.676988938246001</v>
      </c>
      <c r="O350" s="914">
        <f>+SUM(G351:G$501)</f>
        <v>6564.0965292743049</v>
      </c>
      <c r="P350" s="11">
        <f t="shared" si="31"/>
        <v>3.3724924932734202</v>
      </c>
      <c r="Q350" s="913">
        <f t="shared" si="32"/>
        <v>0</v>
      </c>
      <c r="R350" s="11">
        <f t="shared" si="33"/>
        <v>0.31749815139100002</v>
      </c>
      <c r="S350" s="913">
        <f t="shared" si="34"/>
        <v>107</v>
      </c>
    </row>
    <row r="351" spans="1:19" x14ac:dyDescent="0.2">
      <c r="A351" s="11">
        <f t="shared" si="35"/>
        <v>349</v>
      </c>
      <c r="B351" s="11">
        <v>0.98415105695990002</v>
      </c>
      <c r="C351" s="11">
        <v>1.7602134588360001</v>
      </c>
      <c r="D351" s="11"/>
      <c r="E351" s="11">
        <v>3.1215713190839001</v>
      </c>
      <c r="F351" s="11"/>
      <c r="G351" s="11">
        <v>5.8659358348798003</v>
      </c>
      <c r="H351" s="11"/>
      <c r="I351" s="914">
        <f>+SUM(B352:B$501)</f>
        <v>639.63609848013152</v>
      </c>
      <c r="J351" s="914">
        <f>+SUM(C352:C$501)</f>
        <v>259.97406067075701</v>
      </c>
      <c r="K351" s="914">
        <f t="shared" si="30"/>
        <v>899.61015915088853</v>
      </c>
      <c r="L351" s="914">
        <f>+SUM(D352:D$501)</f>
        <v>112.22037925918337</v>
      </c>
      <c r="M351" s="914">
        <f>+SUM(E352:E$501)</f>
        <v>5531.7230660911091</v>
      </c>
      <c r="N351" s="914">
        <f>+SUM(F352:F$501)</f>
        <v>14.676988938246001</v>
      </c>
      <c r="O351" s="914">
        <f>+SUM(G352:G$501)</f>
        <v>6558.2305934394235</v>
      </c>
      <c r="P351" s="11">
        <f t="shared" si="31"/>
        <v>3.1215713190839001</v>
      </c>
      <c r="Q351" s="913">
        <f t="shared" si="32"/>
        <v>0</v>
      </c>
      <c r="R351" s="11">
        <f t="shared" si="33"/>
        <v>0.31749815139100002</v>
      </c>
      <c r="S351" s="913">
        <f t="shared" si="34"/>
        <v>106</v>
      </c>
    </row>
    <row r="352" spans="1:19" x14ac:dyDescent="0.2">
      <c r="A352" s="11">
        <f t="shared" si="35"/>
        <v>350</v>
      </c>
      <c r="B352" s="11">
        <v>1.73394552068427</v>
      </c>
      <c r="C352" s="11">
        <v>2.2107383083499998</v>
      </c>
      <c r="D352" s="11"/>
      <c r="E352" s="11">
        <v>2.2543017536569998</v>
      </c>
      <c r="F352" s="11"/>
      <c r="G352" s="11">
        <v>6.1989855826912699</v>
      </c>
      <c r="H352" s="11"/>
      <c r="I352" s="914">
        <f>+SUM(B353:B$501)</f>
        <v>637.90215295944722</v>
      </c>
      <c r="J352" s="914">
        <f>+SUM(C353:C$501)</f>
        <v>257.76332236240694</v>
      </c>
      <c r="K352" s="914">
        <f t="shared" si="30"/>
        <v>895.66547532185416</v>
      </c>
      <c r="L352" s="914">
        <f>+SUM(D353:D$501)</f>
        <v>112.22037925918337</v>
      </c>
      <c r="M352" s="914">
        <f>+SUM(E353:E$501)</f>
        <v>5529.4687643374518</v>
      </c>
      <c r="N352" s="914">
        <f>+SUM(F353:F$501)</f>
        <v>14.676988938246001</v>
      </c>
      <c r="O352" s="914">
        <f>+SUM(G353:G$501)</f>
        <v>6552.031607856733</v>
      </c>
      <c r="P352" s="11">
        <f t="shared" si="31"/>
        <v>2.2543017536569998</v>
      </c>
      <c r="Q352" s="913">
        <f t="shared" si="32"/>
        <v>0</v>
      </c>
      <c r="R352" s="11">
        <f t="shared" si="33"/>
        <v>0.31749815139100002</v>
      </c>
      <c r="S352" s="913">
        <f t="shared" si="34"/>
        <v>105</v>
      </c>
    </row>
    <row r="353" spans="1:19" x14ac:dyDescent="0.2">
      <c r="A353" s="11">
        <f t="shared" si="35"/>
        <v>351</v>
      </c>
      <c r="B353" s="11">
        <v>2.395013220963</v>
      </c>
      <c r="C353" s="11">
        <v>2.48182224412</v>
      </c>
      <c r="D353" s="11"/>
      <c r="E353" s="11">
        <v>2.1336924926640002</v>
      </c>
      <c r="F353" s="11"/>
      <c r="G353" s="11">
        <v>7.0105279577469997</v>
      </c>
      <c r="H353" s="11"/>
      <c r="I353" s="914">
        <f>+SUM(B354:B$501)</f>
        <v>635.50713973848428</v>
      </c>
      <c r="J353" s="914">
        <f>+SUM(C354:C$501)</f>
        <v>255.28150011828697</v>
      </c>
      <c r="K353" s="914">
        <f t="shared" si="30"/>
        <v>890.78863985677128</v>
      </c>
      <c r="L353" s="914">
        <f>+SUM(D354:D$501)</f>
        <v>112.22037925918337</v>
      </c>
      <c r="M353" s="914">
        <f>+SUM(E354:E$501)</f>
        <v>5527.3350718447882</v>
      </c>
      <c r="N353" s="914">
        <f>+SUM(F354:F$501)</f>
        <v>14.676988938246001</v>
      </c>
      <c r="O353" s="914">
        <f>+SUM(G354:G$501)</f>
        <v>6545.0210798989856</v>
      </c>
      <c r="P353" s="11">
        <f t="shared" si="31"/>
        <v>2.1336924926640002</v>
      </c>
      <c r="Q353" s="913">
        <f t="shared" si="32"/>
        <v>0</v>
      </c>
      <c r="R353" s="11">
        <f t="shared" si="33"/>
        <v>0.31749815139100002</v>
      </c>
      <c r="S353" s="913">
        <f t="shared" si="34"/>
        <v>104</v>
      </c>
    </row>
    <row r="354" spans="1:19" x14ac:dyDescent="0.2">
      <c r="A354" s="11">
        <f t="shared" si="35"/>
        <v>352</v>
      </c>
      <c r="B354" s="11">
        <v>3.1160941491929997</v>
      </c>
      <c r="C354" s="11">
        <v>1.522983947115</v>
      </c>
      <c r="D354" s="11"/>
      <c r="E354" s="11">
        <v>3.2959971465</v>
      </c>
      <c r="F354" s="11"/>
      <c r="G354" s="11">
        <v>7.9350752428079989</v>
      </c>
      <c r="H354" s="11"/>
      <c r="I354" s="914">
        <f>+SUM(B355:B$501)</f>
        <v>632.39104558929125</v>
      </c>
      <c r="J354" s="914">
        <f>+SUM(C355:C$501)</f>
        <v>253.75851617117198</v>
      </c>
      <c r="K354" s="914">
        <f t="shared" si="30"/>
        <v>886.14956176046326</v>
      </c>
      <c r="L354" s="914">
        <f>+SUM(D355:D$501)</f>
        <v>112.22037925918337</v>
      </c>
      <c r="M354" s="914">
        <f>+SUM(E355:E$501)</f>
        <v>5524.0390746982894</v>
      </c>
      <c r="N354" s="914">
        <f>+SUM(F355:F$501)</f>
        <v>14.676988938246001</v>
      </c>
      <c r="O354" s="914">
        <f>+SUM(G355:G$501)</f>
        <v>6537.0860046561784</v>
      </c>
      <c r="P354" s="11">
        <f t="shared" si="31"/>
        <v>3.2959971465</v>
      </c>
      <c r="Q354" s="913">
        <f t="shared" si="32"/>
        <v>0</v>
      </c>
      <c r="R354" s="11">
        <f t="shared" si="33"/>
        <v>0.31749815139100002</v>
      </c>
      <c r="S354" s="913">
        <f t="shared" si="34"/>
        <v>103</v>
      </c>
    </row>
    <row r="355" spans="1:19" x14ac:dyDescent="0.2">
      <c r="A355" s="11">
        <f t="shared" si="35"/>
        <v>353</v>
      </c>
      <c r="B355" s="11">
        <v>4.6741833018104</v>
      </c>
      <c r="C355" s="11">
        <v>0.226377036368</v>
      </c>
      <c r="D355" s="11"/>
      <c r="E355" s="11">
        <v>3.78686413471697</v>
      </c>
      <c r="F355" s="11"/>
      <c r="G355" s="11">
        <v>8.6874244728953691</v>
      </c>
      <c r="H355" s="11"/>
      <c r="I355" s="914">
        <f>+SUM(B356:B$501)</f>
        <v>627.71686228748092</v>
      </c>
      <c r="J355" s="914">
        <f>+SUM(C356:C$501)</f>
        <v>253.53213913480397</v>
      </c>
      <c r="K355" s="914">
        <f t="shared" si="30"/>
        <v>881.24900142228489</v>
      </c>
      <c r="L355" s="914">
        <f>+SUM(D356:D$501)</f>
        <v>112.22037925918337</v>
      </c>
      <c r="M355" s="914">
        <f>+SUM(E356:E$501)</f>
        <v>5520.2522105635717</v>
      </c>
      <c r="N355" s="914">
        <f>+SUM(F356:F$501)</f>
        <v>14.676988938246001</v>
      </c>
      <c r="O355" s="914">
        <f>+SUM(G356:G$501)</f>
        <v>6528.3985801832832</v>
      </c>
      <c r="P355" s="11">
        <f t="shared" si="31"/>
        <v>3.78686413471697</v>
      </c>
      <c r="Q355" s="913">
        <f t="shared" si="32"/>
        <v>0</v>
      </c>
      <c r="R355" s="11">
        <f t="shared" si="33"/>
        <v>0.31749815139100002</v>
      </c>
      <c r="S355" s="913">
        <f t="shared" si="34"/>
        <v>102</v>
      </c>
    </row>
    <row r="356" spans="1:19" x14ac:dyDescent="0.2">
      <c r="A356" s="11">
        <f t="shared" si="35"/>
        <v>354</v>
      </c>
      <c r="B356" s="11">
        <v>2.58450234845</v>
      </c>
      <c r="C356" s="11">
        <v>2.40550555828E-3</v>
      </c>
      <c r="D356" s="11"/>
      <c r="E356" s="11">
        <v>6.6090586420240003</v>
      </c>
      <c r="F356" s="11"/>
      <c r="G356" s="11">
        <v>9.1959664960322804</v>
      </c>
      <c r="H356" s="11"/>
      <c r="I356" s="914">
        <f>+SUM(B357:B$501)</f>
        <v>625.13235993903095</v>
      </c>
      <c r="J356" s="914">
        <f>+SUM(C357:C$501)</f>
        <v>253.5297336292457</v>
      </c>
      <c r="K356" s="914">
        <f t="shared" si="30"/>
        <v>878.66209356827665</v>
      </c>
      <c r="L356" s="914">
        <f>+SUM(D357:D$501)</f>
        <v>112.22037925918337</v>
      </c>
      <c r="M356" s="914">
        <f>+SUM(E357:E$501)</f>
        <v>5513.6431519215485</v>
      </c>
      <c r="N356" s="914">
        <f>+SUM(F357:F$501)</f>
        <v>14.676988938246001</v>
      </c>
      <c r="O356" s="914">
        <f>+SUM(G357:G$501)</f>
        <v>6519.202613687251</v>
      </c>
      <c r="P356" s="11">
        <f t="shared" si="31"/>
        <v>6.6090586420240003</v>
      </c>
      <c r="Q356" s="913">
        <f t="shared" si="32"/>
        <v>0</v>
      </c>
      <c r="R356" s="11">
        <f t="shared" si="33"/>
        <v>0.31749815139100002</v>
      </c>
      <c r="S356" s="913">
        <f t="shared" si="34"/>
        <v>101</v>
      </c>
    </row>
    <row r="357" spans="1:19" x14ac:dyDescent="0.2">
      <c r="A357" s="11">
        <f t="shared" si="35"/>
        <v>355</v>
      </c>
      <c r="B357" s="11">
        <v>2.6418131964900002</v>
      </c>
      <c r="C357" s="11"/>
      <c r="D357" s="11"/>
      <c r="E357" s="11">
        <v>6.8194559564560002</v>
      </c>
      <c r="F357" s="11"/>
      <c r="G357" s="11">
        <v>9.4612691529460005</v>
      </c>
      <c r="H357" s="11"/>
      <c r="I357" s="914">
        <f>+SUM(B358:B$501)</f>
        <v>622.49054674254091</v>
      </c>
      <c r="J357" s="914">
        <f>+SUM(C358:C$501)</f>
        <v>253.5297336292457</v>
      </c>
      <c r="K357" s="914">
        <f t="shared" si="30"/>
        <v>876.02028037178661</v>
      </c>
      <c r="L357" s="914">
        <f>+SUM(D358:D$501)</f>
        <v>112.22037925918337</v>
      </c>
      <c r="M357" s="914">
        <f>+SUM(E358:E$501)</f>
        <v>5506.8236959650903</v>
      </c>
      <c r="N357" s="914">
        <f>+SUM(F358:F$501)</f>
        <v>14.676988938246001</v>
      </c>
      <c r="O357" s="914">
        <f>+SUM(G358:G$501)</f>
        <v>6509.7413445343036</v>
      </c>
      <c r="P357" s="11">
        <f t="shared" si="31"/>
        <v>6.8194559564560002</v>
      </c>
      <c r="Q357" s="913">
        <f t="shared" si="32"/>
        <v>0</v>
      </c>
      <c r="R357" s="11">
        <f t="shared" si="33"/>
        <v>0.31749815139100002</v>
      </c>
      <c r="S357" s="913">
        <f t="shared" si="34"/>
        <v>100</v>
      </c>
    </row>
    <row r="358" spans="1:19" x14ac:dyDescent="0.2">
      <c r="A358" s="11">
        <f t="shared" si="35"/>
        <v>356</v>
      </c>
      <c r="B358" s="11">
        <v>2.0915985066631002</v>
      </c>
      <c r="C358" s="11"/>
      <c r="D358" s="11"/>
      <c r="E358" s="11">
        <v>7.5258605592030001</v>
      </c>
      <c r="F358" s="11"/>
      <c r="G358" s="11">
        <v>9.6174590658661003</v>
      </c>
      <c r="H358" s="11"/>
      <c r="I358" s="914">
        <f>+SUM(B359:B$501)</f>
        <v>620.39894823587781</v>
      </c>
      <c r="J358" s="914">
        <f>+SUM(C359:C$501)</f>
        <v>253.5297336292457</v>
      </c>
      <c r="K358" s="914">
        <f t="shared" si="30"/>
        <v>873.92868186512351</v>
      </c>
      <c r="L358" s="914">
        <f>+SUM(D359:D$501)</f>
        <v>112.22037925918337</v>
      </c>
      <c r="M358" s="914">
        <f>+SUM(E359:E$501)</f>
        <v>5499.2978354058878</v>
      </c>
      <c r="N358" s="914">
        <f>+SUM(F359:F$501)</f>
        <v>14.676988938246001</v>
      </c>
      <c r="O358" s="914">
        <f>+SUM(G359:G$501)</f>
        <v>6500.1238854684389</v>
      </c>
      <c r="P358" s="11">
        <f t="shared" si="31"/>
        <v>7.5258605592030001</v>
      </c>
      <c r="Q358" s="913">
        <f t="shared" si="32"/>
        <v>0</v>
      </c>
      <c r="R358" s="11">
        <f t="shared" si="33"/>
        <v>0.31749815139100002</v>
      </c>
      <c r="S358" s="913">
        <f t="shared" si="34"/>
        <v>99</v>
      </c>
    </row>
    <row r="359" spans="1:19" x14ac:dyDescent="0.2">
      <c r="A359" s="11">
        <f t="shared" si="35"/>
        <v>357</v>
      </c>
      <c r="B359" s="11">
        <v>2.2904781289896001</v>
      </c>
      <c r="C359" s="11"/>
      <c r="D359" s="11"/>
      <c r="E359" s="11">
        <v>7.5038792285099998</v>
      </c>
      <c r="F359" s="11"/>
      <c r="G359" s="11">
        <v>9.7943573574995995</v>
      </c>
      <c r="H359" s="11"/>
      <c r="I359" s="914">
        <f>+SUM(B360:B$501)</f>
        <v>618.10847010688826</v>
      </c>
      <c r="J359" s="914">
        <f>+SUM(C360:C$501)</f>
        <v>253.5297336292457</v>
      </c>
      <c r="K359" s="914">
        <f t="shared" si="30"/>
        <v>871.63820373613396</v>
      </c>
      <c r="L359" s="914">
        <f>+SUM(D360:D$501)</f>
        <v>112.22037925918337</v>
      </c>
      <c r="M359" s="914">
        <f>+SUM(E360:E$501)</f>
        <v>5491.7939561773774</v>
      </c>
      <c r="N359" s="914">
        <f>+SUM(F360:F$501)</f>
        <v>14.676988938246001</v>
      </c>
      <c r="O359" s="914">
        <f>+SUM(G360:G$501)</f>
        <v>6490.3295281109395</v>
      </c>
      <c r="P359" s="11">
        <f t="shared" si="31"/>
        <v>7.5038792285099998</v>
      </c>
      <c r="Q359" s="913">
        <f t="shared" si="32"/>
        <v>0</v>
      </c>
      <c r="R359" s="11">
        <f t="shared" si="33"/>
        <v>0.31749815139100002</v>
      </c>
      <c r="S359" s="913">
        <f t="shared" si="34"/>
        <v>98</v>
      </c>
    </row>
    <row r="360" spans="1:19" x14ac:dyDescent="0.2">
      <c r="A360" s="11">
        <f t="shared" si="35"/>
        <v>358</v>
      </c>
      <c r="B360" s="11">
        <v>1.8171029406218</v>
      </c>
      <c r="C360" s="11"/>
      <c r="D360" s="11"/>
      <c r="E360" s="11">
        <v>8.21088128387</v>
      </c>
      <c r="F360" s="11"/>
      <c r="G360" s="11">
        <v>10.027984224491799</v>
      </c>
      <c r="H360" s="11"/>
      <c r="I360" s="914">
        <f>+SUM(B361:B$501)</f>
        <v>616.29136716626647</v>
      </c>
      <c r="J360" s="914">
        <f>+SUM(C361:C$501)</f>
        <v>253.5297336292457</v>
      </c>
      <c r="K360" s="914">
        <f t="shared" si="30"/>
        <v>869.82110079551217</v>
      </c>
      <c r="L360" s="914">
        <f>+SUM(D361:D$501)</f>
        <v>112.22037925918337</v>
      </c>
      <c r="M360" s="914">
        <f>+SUM(E361:E$501)</f>
        <v>5483.5830748935086</v>
      </c>
      <c r="N360" s="914">
        <f>+SUM(F361:F$501)</f>
        <v>14.676988938246001</v>
      </c>
      <c r="O360" s="914">
        <f>+SUM(G361:G$501)</f>
        <v>6480.3015438864468</v>
      </c>
      <c r="P360" s="11">
        <f t="shared" si="31"/>
        <v>8.21088128387</v>
      </c>
      <c r="Q360" s="913">
        <f t="shared" si="32"/>
        <v>0</v>
      </c>
      <c r="R360" s="11">
        <f t="shared" si="33"/>
        <v>0.31749815139100002</v>
      </c>
      <c r="S360" s="913">
        <f t="shared" si="34"/>
        <v>97</v>
      </c>
    </row>
    <row r="361" spans="1:19" x14ac:dyDescent="0.2">
      <c r="A361" s="11">
        <f t="shared" si="35"/>
        <v>359</v>
      </c>
      <c r="B361" s="11">
        <v>1.7433628059926101</v>
      </c>
      <c r="C361" s="11"/>
      <c r="D361" s="11"/>
      <c r="E361" s="11">
        <v>8.7521166299799997</v>
      </c>
      <c r="F361" s="11"/>
      <c r="G361" s="11">
        <v>10.49547943597261</v>
      </c>
      <c r="H361" s="11"/>
      <c r="I361" s="914">
        <f>+SUM(B362:B$501)</f>
        <v>614.54800436027392</v>
      </c>
      <c r="J361" s="914">
        <f>+SUM(C362:C$501)</f>
        <v>253.5297336292457</v>
      </c>
      <c r="K361" s="914">
        <f t="shared" si="30"/>
        <v>868.07773798951962</v>
      </c>
      <c r="L361" s="914">
        <f>+SUM(D362:D$501)</f>
        <v>112.22037925918337</v>
      </c>
      <c r="M361" s="914">
        <f>+SUM(E362:E$501)</f>
        <v>5474.8309582635275</v>
      </c>
      <c r="N361" s="914">
        <f>+SUM(F362:F$501)</f>
        <v>14.676988938246001</v>
      </c>
      <c r="O361" s="914">
        <f>+SUM(G362:G$501)</f>
        <v>6469.806064450474</v>
      </c>
      <c r="P361" s="11">
        <f t="shared" si="31"/>
        <v>8.7521166299799997</v>
      </c>
      <c r="Q361" s="913">
        <f t="shared" si="32"/>
        <v>0</v>
      </c>
      <c r="R361" s="11">
        <f t="shared" si="33"/>
        <v>0.31749815139100002</v>
      </c>
      <c r="S361" s="913">
        <f t="shared" si="34"/>
        <v>96</v>
      </c>
    </row>
    <row r="362" spans="1:19" x14ac:dyDescent="0.2">
      <c r="A362" s="11">
        <f t="shared" si="35"/>
        <v>360</v>
      </c>
      <c r="B362" s="11">
        <v>3.7932974301936002</v>
      </c>
      <c r="C362" s="11"/>
      <c r="D362" s="11"/>
      <c r="E362" s="11">
        <v>7.8898506157499995</v>
      </c>
      <c r="F362" s="11"/>
      <c r="G362" s="11">
        <v>11.6831480459436</v>
      </c>
      <c r="H362" s="11"/>
      <c r="I362" s="914">
        <f>+SUM(B363:B$501)</f>
        <v>610.75470693008026</v>
      </c>
      <c r="J362" s="914">
        <f>+SUM(C363:C$501)</f>
        <v>253.5297336292457</v>
      </c>
      <c r="K362" s="914">
        <f t="shared" si="30"/>
        <v>864.28444055932596</v>
      </c>
      <c r="L362" s="914">
        <f>+SUM(D363:D$501)</f>
        <v>112.22037925918337</v>
      </c>
      <c r="M362" s="914">
        <f>+SUM(E363:E$501)</f>
        <v>5466.9411076477782</v>
      </c>
      <c r="N362" s="914">
        <f>+SUM(F363:F$501)</f>
        <v>14.676988938246001</v>
      </c>
      <c r="O362" s="914">
        <f>+SUM(G363:G$501)</f>
        <v>6458.1229164045299</v>
      </c>
      <c r="P362" s="11">
        <f t="shared" si="31"/>
        <v>7.8898506157499995</v>
      </c>
      <c r="Q362" s="913">
        <f t="shared" si="32"/>
        <v>0</v>
      </c>
      <c r="R362" s="11">
        <f t="shared" si="33"/>
        <v>0.31749815139100002</v>
      </c>
      <c r="S362" s="913">
        <f t="shared" si="34"/>
        <v>95</v>
      </c>
    </row>
    <row r="363" spans="1:19" x14ac:dyDescent="0.2">
      <c r="A363" s="11">
        <f t="shared" si="35"/>
        <v>361</v>
      </c>
      <c r="B363" s="11">
        <v>3.6890868236037999</v>
      </c>
      <c r="C363" s="11"/>
      <c r="D363" s="11"/>
      <c r="E363" s="11">
        <v>9.3113020687599999</v>
      </c>
      <c r="F363" s="11"/>
      <c r="G363" s="11">
        <v>13.0003888923638</v>
      </c>
      <c r="H363" s="11"/>
      <c r="I363" s="914">
        <f>+SUM(B364:B$501)</f>
        <v>607.06562010647644</v>
      </c>
      <c r="J363" s="914">
        <f>+SUM(C364:C$501)</f>
        <v>253.5297336292457</v>
      </c>
      <c r="K363" s="914">
        <f t="shared" si="30"/>
        <v>860.59535373572214</v>
      </c>
      <c r="L363" s="914">
        <f>+SUM(D364:D$501)</f>
        <v>112.22037925918337</v>
      </c>
      <c r="M363" s="914">
        <f>+SUM(E364:E$501)</f>
        <v>5457.6298055790185</v>
      </c>
      <c r="N363" s="914">
        <f>+SUM(F364:F$501)</f>
        <v>14.676988938246001</v>
      </c>
      <c r="O363" s="914">
        <f>+SUM(G364:G$501)</f>
        <v>6445.122527512166</v>
      </c>
      <c r="P363" s="11">
        <f t="shared" si="31"/>
        <v>9.3113020687599999</v>
      </c>
      <c r="Q363" s="913">
        <f t="shared" si="32"/>
        <v>0</v>
      </c>
      <c r="R363" s="11">
        <f t="shared" si="33"/>
        <v>0.31749815139100002</v>
      </c>
      <c r="S363" s="913">
        <f t="shared" si="34"/>
        <v>94</v>
      </c>
    </row>
    <row r="364" spans="1:19" x14ac:dyDescent="0.2">
      <c r="A364" s="11">
        <f t="shared" si="35"/>
        <v>362</v>
      </c>
      <c r="B364" s="11">
        <v>3.3040944796709</v>
      </c>
      <c r="C364" s="11"/>
      <c r="D364" s="11"/>
      <c r="E364" s="11">
        <v>11.152361604520001</v>
      </c>
      <c r="F364" s="11"/>
      <c r="G364" s="11">
        <v>14.456456084190901</v>
      </c>
      <c r="H364" s="11"/>
      <c r="I364" s="914">
        <f>+SUM(B365:B$501)</f>
        <v>603.76152562680556</v>
      </c>
      <c r="J364" s="914">
        <f>+SUM(C365:C$501)</f>
        <v>253.5297336292457</v>
      </c>
      <c r="K364" s="914">
        <f t="shared" si="30"/>
        <v>857.29125925605126</v>
      </c>
      <c r="L364" s="914">
        <f>+SUM(D365:D$501)</f>
        <v>112.22037925918337</v>
      </c>
      <c r="M364" s="914">
        <f>+SUM(E365:E$501)</f>
        <v>5446.4774439744988</v>
      </c>
      <c r="N364" s="914">
        <f>+SUM(F365:F$501)</f>
        <v>14.676988938246001</v>
      </c>
      <c r="O364" s="914">
        <f>+SUM(G365:G$501)</f>
        <v>6430.666071427976</v>
      </c>
      <c r="P364" s="11">
        <f t="shared" si="31"/>
        <v>11.152361604520001</v>
      </c>
      <c r="Q364" s="913">
        <f t="shared" si="32"/>
        <v>0</v>
      </c>
      <c r="R364" s="11">
        <f t="shared" si="33"/>
        <v>0.31749815139100002</v>
      </c>
      <c r="S364" s="913">
        <f t="shared" si="34"/>
        <v>93</v>
      </c>
    </row>
    <row r="365" spans="1:19" x14ac:dyDescent="0.2">
      <c r="A365" s="11">
        <f t="shared" si="35"/>
        <v>363</v>
      </c>
      <c r="B365" s="11">
        <v>2.5403159621147999</v>
      </c>
      <c r="C365" s="11"/>
      <c r="D365" s="11"/>
      <c r="E365" s="11">
        <v>13.879096013320002</v>
      </c>
      <c r="F365" s="11"/>
      <c r="G365" s="11">
        <v>16.419411975434802</v>
      </c>
      <c r="H365" s="11"/>
      <c r="I365" s="914">
        <f>+SUM(B366:B$501)</f>
        <v>601.22120966469072</v>
      </c>
      <c r="J365" s="914">
        <f>+SUM(C366:C$501)</f>
        <v>253.5297336292457</v>
      </c>
      <c r="K365" s="914">
        <f t="shared" si="30"/>
        <v>854.75094329393642</v>
      </c>
      <c r="L365" s="914">
        <f>+SUM(D366:D$501)</f>
        <v>112.22037925918337</v>
      </c>
      <c r="M365" s="914">
        <f>+SUM(E366:E$501)</f>
        <v>5432.5983479611796</v>
      </c>
      <c r="N365" s="914">
        <f>+SUM(F366:F$501)</f>
        <v>14.676988938246001</v>
      </c>
      <c r="O365" s="914">
        <f>+SUM(G366:G$501)</f>
        <v>6414.2466594525404</v>
      </c>
      <c r="P365" s="11">
        <f t="shared" si="31"/>
        <v>13.879096013320002</v>
      </c>
      <c r="Q365" s="913">
        <f t="shared" si="32"/>
        <v>0</v>
      </c>
      <c r="R365" s="11">
        <f t="shared" si="33"/>
        <v>0.31749815139100002</v>
      </c>
      <c r="S365" s="913">
        <f t="shared" si="34"/>
        <v>92</v>
      </c>
    </row>
    <row r="366" spans="1:19" x14ac:dyDescent="0.2">
      <c r="A366" s="11">
        <f t="shared" si="35"/>
        <v>364</v>
      </c>
      <c r="B366" s="11">
        <v>3.80517322657</v>
      </c>
      <c r="C366" s="11"/>
      <c r="D366" s="11"/>
      <c r="E366" s="11">
        <v>14.268299604553</v>
      </c>
      <c r="F366" s="11"/>
      <c r="G366" s="11">
        <v>18.073472831122999</v>
      </c>
      <c r="H366" s="11"/>
      <c r="I366" s="914">
        <f>+SUM(B367:B$501)</f>
        <v>597.41603643812073</v>
      </c>
      <c r="J366" s="914">
        <f>+SUM(C367:C$501)</f>
        <v>253.5297336292457</v>
      </c>
      <c r="K366" s="914">
        <f t="shared" si="30"/>
        <v>850.94577006736642</v>
      </c>
      <c r="L366" s="914">
        <f>+SUM(D367:D$501)</f>
        <v>112.22037925918337</v>
      </c>
      <c r="M366" s="914">
        <f>+SUM(E367:E$501)</f>
        <v>5418.3300483566263</v>
      </c>
      <c r="N366" s="914">
        <f>+SUM(F367:F$501)</f>
        <v>14.676988938246001</v>
      </c>
      <c r="O366" s="914">
        <f>+SUM(G367:G$501)</f>
        <v>6396.1731866214168</v>
      </c>
      <c r="P366" s="11">
        <f t="shared" si="31"/>
        <v>14.268299604553</v>
      </c>
      <c r="Q366" s="913">
        <f t="shared" si="32"/>
        <v>0</v>
      </c>
      <c r="R366" s="11">
        <f t="shared" si="33"/>
        <v>0.31749815139100002</v>
      </c>
      <c r="S366" s="913">
        <f t="shared" si="34"/>
        <v>91</v>
      </c>
    </row>
    <row r="367" spans="1:19" x14ac:dyDescent="0.2">
      <c r="A367" s="11">
        <f t="shared" si="35"/>
        <v>365</v>
      </c>
      <c r="B367" s="11">
        <v>2.9383898083500002</v>
      </c>
      <c r="C367" s="11">
        <v>0.29562260189599998</v>
      </c>
      <c r="D367" s="11"/>
      <c r="E367" s="11">
        <v>16.04039937208762</v>
      </c>
      <c r="F367" s="11"/>
      <c r="G367" s="11">
        <v>19.274411782333619</v>
      </c>
      <c r="H367" s="11"/>
      <c r="I367" s="914">
        <f>+SUM(B368:B$501)</f>
        <v>594.47764662977056</v>
      </c>
      <c r="J367" s="914">
        <f>+SUM(C368:C$501)</f>
        <v>253.23411102734968</v>
      </c>
      <c r="K367" s="914">
        <f t="shared" si="30"/>
        <v>847.71175765712019</v>
      </c>
      <c r="L367" s="914">
        <f>+SUM(D368:D$501)</f>
        <v>112.22037925918337</v>
      </c>
      <c r="M367" s="914">
        <f>+SUM(E368:E$501)</f>
        <v>5402.289648984538</v>
      </c>
      <c r="N367" s="914">
        <f>+SUM(F368:F$501)</f>
        <v>14.676988938246001</v>
      </c>
      <c r="O367" s="914">
        <f>+SUM(G368:G$501)</f>
        <v>6376.8987748390837</v>
      </c>
      <c r="P367" s="11">
        <f t="shared" si="31"/>
        <v>16.04039937208762</v>
      </c>
      <c r="Q367" s="913">
        <f t="shared" si="32"/>
        <v>0</v>
      </c>
      <c r="R367" s="11">
        <f t="shared" si="33"/>
        <v>0.31749815139100002</v>
      </c>
      <c r="S367" s="913">
        <f t="shared" si="34"/>
        <v>90</v>
      </c>
    </row>
    <row r="368" spans="1:19" x14ac:dyDescent="0.2">
      <c r="A368" s="11">
        <f t="shared" si="35"/>
        <v>366</v>
      </c>
      <c r="B368" s="11">
        <v>1.2725624518829</v>
      </c>
      <c r="C368" s="11">
        <v>0.91666527535999998</v>
      </c>
      <c r="D368" s="11"/>
      <c r="E368" s="11">
        <v>18.573451801105001</v>
      </c>
      <c r="F368" s="11"/>
      <c r="G368" s="11">
        <v>20.762679528347903</v>
      </c>
      <c r="H368" s="11"/>
      <c r="I368" s="914">
        <f>+SUM(B369:B$501)</f>
        <v>593.20508417788767</v>
      </c>
      <c r="J368" s="914">
        <f>+SUM(C369:C$501)</f>
        <v>252.31744575198971</v>
      </c>
      <c r="K368" s="914">
        <f t="shared" si="30"/>
        <v>845.52252992987735</v>
      </c>
      <c r="L368" s="914">
        <f>+SUM(D369:D$501)</f>
        <v>112.22037925918337</v>
      </c>
      <c r="M368" s="914">
        <f>+SUM(E369:E$501)</f>
        <v>5383.716197183433</v>
      </c>
      <c r="N368" s="914">
        <f>+SUM(F369:F$501)</f>
        <v>14.676988938246001</v>
      </c>
      <c r="O368" s="914">
        <f>+SUM(G369:G$501)</f>
        <v>6356.1360953107369</v>
      </c>
      <c r="P368" s="11">
        <f t="shared" si="31"/>
        <v>18.573451801105001</v>
      </c>
      <c r="Q368" s="913">
        <f t="shared" si="32"/>
        <v>0</v>
      </c>
      <c r="R368" s="11">
        <f t="shared" si="33"/>
        <v>0.31749815139100002</v>
      </c>
      <c r="S368" s="913">
        <f t="shared" si="34"/>
        <v>89</v>
      </c>
    </row>
    <row r="369" spans="1:19" x14ac:dyDescent="0.2">
      <c r="A369" s="11">
        <f t="shared" si="35"/>
        <v>367</v>
      </c>
      <c r="B369" s="11">
        <v>3.6525465298449999</v>
      </c>
      <c r="C369" s="11">
        <v>0.81638136830700003</v>
      </c>
      <c r="D369" s="11"/>
      <c r="E369" s="11">
        <v>18.720261808</v>
      </c>
      <c r="F369" s="11"/>
      <c r="G369" s="11">
        <v>23.189189706152</v>
      </c>
      <c r="H369" s="11"/>
      <c r="I369" s="914">
        <f>+SUM(B370:B$501)</f>
        <v>589.55253764804274</v>
      </c>
      <c r="J369" s="914">
        <f>+SUM(C370:C$501)</f>
        <v>251.50106438368272</v>
      </c>
      <c r="K369" s="914">
        <f t="shared" si="30"/>
        <v>841.0536020317254</v>
      </c>
      <c r="L369" s="914">
        <f>+SUM(D370:D$501)</f>
        <v>112.22037925918337</v>
      </c>
      <c r="M369" s="914">
        <f>+SUM(E370:E$501)</f>
        <v>5364.9959353754321</v>
      </c>
      <c r="N369" s="914">
        <f>+SUM(F370:F$501)</f>
        <v>14.676988938246001</v>
      </c>
      <c r="O369" s="914">
        <f>+SUM(G370:G$501)</f>
        <v>6332.9469056045846</v>
      </c>
      <c r="P369" s="11">
        <f t="shared" si="31"/>
        <v>18.720261808</v>
      </c>
      <c r="Q369" s="913">
        <f t="shared" si="32"/>
        <v>0</v>
      </c>
      <c r="R369" s="11">
        <f t="shared" si="33"/>
        <v>0.31749815139100002</v>
      </c>
      <c r="S369" s="913">
        <f t="shared" si="34"/>
        <v>88</v>
      </c>
    </row>
    <row r="370" spans="1:19" x14ac:dyDescent="0.2">
      <c r="A370" s="11">
        <f t="shared" si="35"/>
        <v>368</v>
      </c>
      <c r="B370" s="11">
        <v>1.756331069207</v>
      </c>
      <c r="C370" s="11">
        <v>0.63696788123699999</v>
      </c>
      <c r="D370" s="11"/>
      <c r="E370" s="11">
        <v>25.0573540619</v>
      </c>
      <c r="F370" s="11"/>
      <c r="G370" s="11">
        <v>27.450653012343999</v>
      </c>
      <c r="H370" s="11"/>
      <c r="I370" s="914">
        <f>+SUM(B371:B$501)</f>
        <v>587.79620657883584</v>
      </c>
      <c r="J370" s="914">
        <f>+SUM(C371:C$501)</f>
        <v>250.8640965024457</v>
      </c>
      <c r="K370" s="914">
        <f t="shared" si="30"/>
        <v>838.66030308128154</v>
      </c>
      <c r="L370" s="914">
        <f>+SUM(D371:D$501)</f>
        <v>112.22037925918337</v>
      </c>
      <c r="M370" s="914">
        <f>+SUM(E371:E$501)</f>
        <v>5339.9385813135332</v>
      </c>
      <c r="N370" s="914">
        <f>+SUM(F371:F$501)</f>
        <v>14.676988938246001</v>
      </c>
      <c r="O370" s="914">
        <f>+SUM(G371:G$501)</f>
        <v>6305.4962525922392</v>
      </c>
      <c r="P370" s="11">
        <f t="shared" si="31"/>
        <v>25.0573540619</v>
      </c>
      <c r="Q370" s="913">
        <f t="shared" si="32"/>
        <v>0</v>
      </c>
      <c r="R370" s="11">
        <f t="shared" si="33"/>
        <v>0.31749815139100002</v>
      </c>
      <c r="S370" s="913">
        <f t="shared" si="34"/>
        <v>87</v>
      </c>
    </row>
    <row r="371" spans="1:19" x14ac:dyDescent="0.2">
      <c r="A371" s="11">
        <f t="shared" si="35"/>
        <v>369</v>
      </c>
      <c r="B371" s="11">
        <v>2.6773646077198001</v>
      </c>
      <c r="C371" s="11">
        <v>1.249685650475</v>
      </c>
      <c r="D371" s="11"/>
      <c r="E371" s="11">
        <v>28.414865980315341</v>
      </c>
      <c r="F371" s="11"/>
      <c r="G371" s="11">
        <v>32.341916238510137</v>
      </c>
      <c r="H371" s="11"/>
      <c r="I371" s="914">
        <f>+SUM(B372:B$501)</f>
        <v>585.11884197111601</v>
      </c>
      <c r="J371" s="914">
        <f>+SUM(C372:C$501)</f>
        <v>249.61441085197072</v>
      </c>
      <c r="K371" s="914">
        <f t="shared" si="30"/>
        <v>834.73325282308679</v>
      </c>
      <c r="L371" s="914">
        <f>+SUM(D372:D$501)</f>
        <v>112.22037925918337</v>
      </c>
      <c r="M371" s="914">
        <f>+SUM(E372:E$501)</f>
        <v>5311.5237153332173</v>
      </c>
      <c r="N371" s="914">
        <f>+SUM(F372:F$501)</f>
        <v>14.676988938246001</v>
      </c>
      <c r="O371" s="914">
        <f>+SUM(G372:G$501)</f>
        <v>6273.1543363537285</v>
      </c>
      <c r="P371" s="11">
        <f t="shared" si="31"/>
        <v>28.414865980315341</v>
      </c>
      <c r="Q371" s="913">
        <f t="shared" si="32"/>
        <v>0</v>
      </c>
      <c r="R371" s="11">
        <f t="shared" si="33"/>
        <v>0.31749815139100002</v>
      </c>
      <c r="S371" s="913">
        <f t="shared" si="34"/>
        <v>86</v>
      </c>
    </row>
    <row r="372" spans="1:19" x14ac:dyDescent="0.2">
      <c r="A372" s="11">
        <f t="shared" si="35"/>
        <v>370</v>
      </c>
      <c r="B372" s="11">
        <v>6.7092489414586005</v>
      </c>
      <c r="C372" s="11">
        <v>0.95627146388372997</v>
      </c>
      <c r="D372" s="11"/>
      <c r="E372" s="11">
        <v>29.476216920468698</v>
      </c>
      <c r="F372" s="11"/>
      <c r="G372" s="11">
        <v>37.141737325811029</v>
      </c>
      <c r="H372" s="11"/>
      <c r="I372" s="914">
        <f>+SUM(B373:B$501)</f>
        <v>578.40959302965734</v>
      </c>
      <c r="J372" s="914">
        <f>+SUM(C373:C$501)</f>
        <v>248.65813938808699</v>
      </c>
      <c r="K372" s="914">
        <f t="shared" si="30"/>
        <v>827.06773241774431</v>
      </c>
      <c r="L372" s="914">
        <f>+SUM(D373:D$501)</f>
        <v>112.22037925918337</v>
      </c>
      <c r="M372" s="914">
        <f>+SUM(E373:E$501)</f>
        <v>5282.0474984127477</v>
      </c>
      <c r="N372" s="914">
        <f>+SUM(F373:F$501)</f>
        <v>14.676988938246001</v>
      </c>
      <c r="O372" s="914">
        <f>+SUM(G373:G$501)</f>
        <v>6236.0125990279184</v>
      </c>
      <c r="P372" s="11">
        <f t="shared" si="31"/>
        <v>29.476216920468698</v>
      </c>
      <c r="Q372" s="913">
        <f t="shared" si="32"/>
        <v>0</v>
      </c>
      <c r="R372" s="11">
        <f t="shared" si="33"/>
        <v>0.31749815139100002</v>
      </c>
      <c r="S372" s="913">
        <f t="shared" si="34"/>
        <v>85</v>
      </c>
    </row>
    <row r="373" spans="1:19" x14ac:dyDescent="0.2">
      <c r="A373" s="11">
        <f t="shared" si="35"/>
        <v>371</v>
      </c>
      <c r="B373" s="11">
        <v>6.3779721743198605</v>
      </c>
      <c r="C373" s="11"/>
      <c r="D373" s="11"/>
      <c r="E373" s="11">
        <v>35.610315828744994</v>
      </c>
      <c r="F373" s="11"/>
      <c r="G373" s="11">
        <v>41.988288003064852</v>
      </c>
      <c r="H373" s="11"/>
      <c r="I373" s="914">
        <f>+SUM(B374:B$501)</f>
        <v>572.03162085533756</v>
      </c>
      <c r="J373" s="914">
        <f>+SUM(C374:C$501)</f>
        <v>248.65813938808699</v>
      </c>
      <c r="K373" s="914">
        <f t="shared" si="30"/>
        <v>820.68976024342453</v>
      </c>
      <c r="L373" s="914">
        <f>+SUM(D374:D$501)</f>
        <v>112.22037925918337</v>
      </c>
      <c r="M373" s="914">
        <f>+SUM(E374:E$501)</f>
        <v>5246.4371825840035</v>
      </c>
      <c r="N373" s="914">
        <f>+SUM(F374:F$501)</f>
        <v>14.676988938246001</v>
      </c>
      <c r="O373" s="914">
        <f>+SUM(G374:G$501)</f>
        <v>6194.0243110248548</v>
      </c>
      <c r="P373" s="11">
        <f t="shared" si="31"/>
        <v>35.610315828744994</v>
      </c>
      <c r="Q373" s="913">
        <f t="shared" si="32"/>
        <v>0</v>
      </c>
      <c r="R373" s="11">
        <f t="shared" si="33"/>
        <v>0.31749815139100002</v>
      </c>
      <c r="S373" s="913">
        <f t="shared" si="34"/>
        <v>84</v>
      </c>
    </row>
    <row r="374" spans="1:19" x14ac:dyDescent="0.2">
      <c r="A374" s="11">
        <f t="shared" si="35"/>
        <v>372</v>
      </c>
      <c r="B374" s="11">
        <v>10.800690933402601</v>
      </c>
      <c r="C374" s="11"/>
      <c r="D374" s="11"/>
      <c r="E374" s="11">
        <v>35.662663640672832</v>
      </c>
      <c r="F374" s="11"/>
      <c r="G374" s="11">
        <v>46.463354574075431</v>
      </c>
      <c r="H374" s="11"/>
      <c r="I374" s="914">
        <f>+SUM(B375:B$501)</f>
        <v>561.23092992193494</v>
      </c>
      <c r="J374" s="914">
        <f>+SUM(C375:C$501)</f>
        <v>248.65813938808699</v>
      </c>
      <c r="K374" s="914">
        <f t="shared" si="30"/>
        <v>809.88906931002191</v>
      </c>
      <c r="L374" s="914">
        <f>+SUM(D375:D$501)</f>
        <v>112.22037925918337</v>
      </c>
      <c r="M374" s="914">
        <f>+SUM(E375:E$501)</f>
        <v>5210.774518943329</v>
      </c>
      <c r="N374" s="914">
        <f>+SUM(F375:F$501)</f>
        <v>14.676988938246001</v>
      </c>
      <c r="O374" s="914">
        <f>+SUM(G375:G$501)</f>
        <v>6147.5609564507786</v>
      </c>
      <c r="P374" s="11">
        <f t="shared" si="31"/>
        <v>35.662663640672832</v>
      </c>
      <c r="Q374" s="913">
        <f t="shared" si="32"/>
        <v>0</v>
      </c>
      <c r="R374" s="11">
        <f t="shared" si="33"/>
        <v>0.31749815139100002</v>
      </c>
      <c r="S374" s="913">
        <f t="shared" si="34"/>
        <v>83</v>
      </c>
    </row>
    <row r="375" spans="1:19" x14ac:dyDescent="0.2">
      <c r="A375" s="11">
        <f t="shared" si="35"/>
        <v>373</v>
      </c>
      <c r="B375" s="11">
        <v>16.2604298580105</v>
      </c>
      <c r="C375" s="11"/>
      <c r="D375" s="11"/>
      <c r="E375" s="11">
        <v>32.780929551885002</v>
      </c>
      <c r="F375" s="11"/>
      <c r="G375" s="11">
        <v>49.041359409895506</v>
      </c>
      <c r="H375" s="11"/>
      <c r="I375" s="914">
        <f>+SUM(B376:B$501)</f>
        <v>544.97050006392431</v>
      </c>
      <c r="J375" s="914">
        <f>+SUM(C376:C$501)</f>
        <v>248.65813938808699</v>
      </c>
      <c r="K375" s="914">
        <f t="shared" si="30"/>
        <v>793.62863945201127</v>
      </c>
      <c r="L375" s="914">
        <f>+SUM(D376:D$501)</f>
        <v>112.22037925918337</v>
      </c>
      <c r="M375" s="914">
        <f>+SUM(E376:E$501)</f>
        <v>5177.9935893914453</v>
      </c>
      <c r="N375" s="914">
        <f>+SUM(F376:F$501)</f>
        <v>14.676988938246001</v>
      </c>
      <c r="O375" s="914">
        <f>+SUM(G376:G$501)</f>
        <v>6098.5195970408831</v>
      </c>
      <c r="P375" s="11">
        <f t="shared" si="31"/>
        <v>32.780929551885002</v>
      </c>
      <c r="Q375" s="913">
        <f t="shared" si="32"/>
        <v>0</v>
      </c>
      <c r="R375" s="11">
        <f t="shared" si="33"/>
        <v>0.31749815139100002</v>
      </c>
      <c r="S375" s="913">
        <f t="shared" si="34"/>
        <v>82</v>
      </c>
    </row>
    <row r="376" spans="1:19" x14ac:dyDescent="0.2">
      <c r="A376" s="11">
        <f t="shared" si="35"/>
        <v>374</v>
      </c>
      <c r="B376" s="11">
        <v>16.628828470706488</v>
      </c>
      <c r="C376" s="11"/>
      <c r="D376" s="11"/>
      <c r="E376" s="11">
        <v>34.716387201886995</v>
      </c>
      <c r="F376" s="11"/>
      <c r="G376" s="11">
        <v>51.345215672593483</v>
      </c>
      <c r="H376" s="11"/>
      <c r="I376" s="914">
        <f>+SUM(B377:B$501)</f>
        <v>528.34167159321771</v>
      </c>
      <c r="J376" s="914">
        <f>+SUM(C377:C$501)</f>
        <v>248.65813938808699</v>
      </c>
      <c r="K376" s="914">
        <f t="shared" si="30"/>
        <v>776.99981098130468</v>
      </c>
      <c r="L376" s="914">
        <f>+SUM(D377:D$501)</f>
        <v>112.22037925918337</v>
      </c>
      <c r="M376" s="914">
        <f>+SUM(E377:E$501)</f>
        <v>5143.2772021895571</v>
      </c>
      <c r="N376" s="914">
        <f>+SUM(F377:F$501)</f>
        <v>14.676988938246001</v>
      </c>
      <c r="O376" s="914">
        <f>+SUM(G377:G$501)</f>
        <v>6047.1743813682888</v>
      </c>
      <c r="P376" s="11">
        <f t="shared" si="31"/>
        <v>34.716387201886995</v>
      </c>
      <c r="Q376" s="913">
        <f t="shared" si="32"/>
        <v>0</v>
      </c>
      <c r="R376" s="11">
        <f t="shared" si="33"/>
        <v>0.31749815139100002</v>
      </c>
      <c r="S376" s="913">
        <f t="shared" si="34"/>
        <v>81</v>
      </c>
    </row>
    <row r="377" spans="1:19" x14ac:dyDescent="0.2">
      <c r="A377" s="11">
        <f t="shared" si="35"/>
        <v>375</v>
      </c>
      <c r="B377" s="11">
        <v>20.205863954150125</v>
      </c>
      <c r="C377" s="11"/>
      <c r="D377" s="11"/>
      <c r="E377" s="11">
        <v>33.406779752735297</v>
      </c>
      <c r="F377" s="11"/>
      <c r="G377" s="11">
        <v>53.612643706885422</v>
      </c>
      <c r="H377" s="11"/>
      <c r="I377" s="914">
        <f>+SUM(B378:B$501)</f>
        <v>508.13580763906748</v>
      </c>
      <c r="J377" s="914">
        <f>+SUM(C378:C$501)</f>
        <v>248.65813938808699</v>
      </c>
      <c r="K377" s="914">
        <f t="shared" si="30"/>
        <v>756.79394702715445</v>
      </c>
      <c r="L377" s="914">
        <f>+SUM(D378:D$501)</f>
        <v>112.22037925918337</v>
      </c>
      <c r="M377" s="914">
        <f>+SUM(E378:E$501)</f>
        <v>5109.8704224368221</v>
      </c>
      <c r="N377" s="914">
        <f>+SUM(F378:F$501)</f>
        <v>14.676988938246001</v>
      </c>
      <c r="O377" s="914">
        <f>+SUM(G378:G$501)</f>
        <v>5993.5617376614036</v>
      </c>
      <c r="P377" s="11">
        <f t="shared" si="31"/>
        <v>33.406779752735297</v>
      </c>
      <c r="Q377" s="913">
        <f t="shared" si="32"/>
        <v>0</v>
      </c>
      <c r="R377" s="11">
        <f t="shared" si="33"/>
        <v>0.31749815139100002</v>
      </c>
      <c r="S377" s="913">
        <f t="shared" si="34"/>
        <v>80</v>
      </c>
    </row>
    <row r="378" spans="1:19" x14ac:dyDescent="0.2">
      <c r="A378" s="11">
        <f t="shared" si="35"/>
        <v>376</v>
      </c>
      <c r="B378" s="11">
        <v>20.068942651667111</v>
      </c>
      <c r="C378" s="11"/>
      <c r="D378" s="11"/>
      <c r="E378" s="11">
        <v>36.120946090453998</v>
      </c>
      <c r="F378" s="11"/>
      <c r="G378" s="11">
        <v>56.189888742121113</v>
      </c>
      <c r="H378" s="11"/>
      <c r="I378" s="914">
        <f>+SUM(B379:B$501)</f>
        <v>488.06686498740049</v>
      </c>
      <c r="J378" s="914">
        <f>+SUM(C379:C$501)</f>
        <v>248.65813938808699</v>
      </c>
      <c r="K378" s="914">
        <f t="shared" si="30"/>
        <v>736.72500437548752</v>
      </c>
      <c r="L378" s="914">
        <f>+SUM(D379:D$501)</f>
        <v>112.22037925918337</v>
      </c>
      <c r="M378" s="914">
        <f>+SUM(E379:E$501)</f>
        <v>5073.7494763463665</v>
      </c>
      <c r="N378" s="914">
        <f>+SUM(F379:F$501)</f>
        <v>14.676988938246001</v>
      </c>
      <c r="O378" s="914">
        <f>+SUM(G379:G$501)</f>
        <v>5937.3718489192825</v>
      </c>
      <c r="P378" s="11">
        <f t="shared" si="31"/>
        <v>36.120946090453998</v>
      </c>
      <c r="Q378" s="913">
        <f t="shared" si="32"/>
        <v>0</v>
      </c>
      <c r="R378" s="11">
        <f t="shared" si="33"/>
        <v>0.31749815139100002</v>
      </c>
      <c r="S378" s="913">
        <f t="shared" si="34"/>
        <v>79</v>
      </c>
    </row>
    <row r="379" spans="1:19" x14ac:dyDescent="0.2">
      <c r="A379" s="11">
        <f t="shared" si="35"/>
        <v>377</v>
      </c>
      <c r="B379" s="11">
        <v>22.301078452318787</v>
      </c>
      <c r="C379" s="11"/>
      <c r="D379" s="11"/>
      <c r="E379" s="11">
        <v>36.565548992605997</v>
      </c>
      <c r="F379" s="11"/>
      <c r="G379" s="11">
        <v>58.866627444924788</v>
      </c>
      <c r="H379" s="11"/>
      <c r="I379" s="914">
        <f>+SUM(B380:B$501)</f>
        <v>465.76578653508176</v>
      </c>
      <c r="J379" s="914">
        <f>+SUM(C380:C$501)</f>
        <v>248.65813938808699</v>
      </c>
      <c r="K379" s="914">
        <f t="shared" si="30"/>
        <v>714.42392592316878</v>
      </c>
      <c r="L379" s="914">
        <f>+SUM(D380:D$501)</f>
        <v>112.22037925918337</v>
      </c>
      <c r="M379" s="914">
        <f>+SUM(E380:E$501)</f>
        <v>5037.1839273537616</v>
      </c>
      <c r="N379" s="914">
        <f>+SUM(F380:F$501)</f>
        <v>14.676988938246001</v>
      </c>
      <c r="O379" s="914">
        <f>+SUM(G380:G$501)</f>
        <v>5878.5052214743582</v>
      </c>
      <c r="P379" s="11">
        <f t="shared" si="31"/>
        <v>36.565548992605997</v>
      </c>
      <c r="Q379" s="913">
        <f t="shared" si="32"/>
        <v>0</v>
      </c>
      <c r="R379" s="11">
        <f t="shared" si="33"/>
        <v>0.31749815139100002</v>
      </c>
      <c r="S379" s="913">
        <f t="shared" si="34"/>
        <v>78</v>
      </c>
    </row>
    <row r="380" spans="1:19" x14ac:dyDescent="0.2">
      <c r="A380" s="11">
        <f t="shared" si="35"/>
        <v>378</v>
      </c>
      <c r="B380" s="11">
        <v>25.78305909949005</v>
      </c>
      <c r="C380" s="11"/>
      <c r="D380" s="11"/>
      <c r="E380" s="11">
        <v>41.217459724295665</v>
      </c>
      <c r="F380" s="11"/>
      <c r="G380" s="11">
        <v>67.000518823785711</v>
      </c>
      <c r="H380" s="11"/>
      <c r="I380" s="914">
        <f>+SUM(B381:B$501)</f>
        <v>439.9827274355917</v>
      </c>
      <c r="J380" s="914">
        <f>+SUM(C381:C$501)</f>
        <v>248.65813938808699</v>
      </c>
      <c r="K380" s="914">
        <f t="shared" si="30"/>
        <v>688.64086682367872</v>
      </c>
      <c r="L380" s="914">
        <f>+SUM(D381:D$501)</f>
        <v>112.22037925918337</v>
      </c>
      <c r="M380" s="914">
        <f>+SUM(E381:E$501)</f>
        <v>4995.966467629466</v>
      </c>
      <c r="N380" s="914">
        <f>+SUM(F381:F$501)</f>
        <v>14.676988938246001</v>
      </c>
      <c r="O380" s="914">
        <f>+SUM(G381:G$501)</f>
        <v>5811.5047026505717</v>
      </c>
      <c r="P380" s="11">
        <f t="shared" si="31"/>
        <v>41.217459724295665</v>
      </c>
      <c r="Q380" s="913">
        <f t="shared" si="32"/>
        <v>0</v>
      </c>
      <c r="R380" s="11">
        <f t="shared" si="33"/>
        <v>0.31749815139100002</v>
      </c>
      <c r="S380" s="913">
        <f t="shared" si="34"/>
        <v>77</v>
      </c>
    </row>
    <row r="381" spans="1:19" x14ac:dyDescent="0.2">
      <c r="A381" s="11">
        <f t="shared" si="35"/>
        <v>379</v>
      </c>
      <c r="B381" s="11">
        <v>19.700629417357</v>
      </c>
      <c r="C381" s="11"/>
      <c r="D381" s="11"/>
      <c r="E381" s="11">
        <v>40.559828416523999</v>
      </c>
      <c r="F381" s="11"/>
      <c r="G381" s="11">
        <v>60.260457833880999</v>
      </c>
      <c r="H381" s="11"/>
      <c r="I381" s="914">
        <f>+SUM(B382:B$501)</f>
        <v>420.28209801823459</v>
      </c>
      <c r="J381" s="914">
        <f>+SUM(C382:C$501)</f>
        <v>248.65813938808699</v>
      </c>
      <c r="K381" s="914">
        <f t="shared" si="30"/>
        <v>668.94023740632156</v>
      </c>
      <c r="L381" s="914">
        <f>+SUM(D382:D$501)</f>
        <v>112.22037925918337</v>
      </c>
      <c r="M381" s="914">
        <f>+SUM(E382:E$501)</f>
        <v>4955.4066392129434</v>
      </c>
      <c r="N381" s="914">
        <f>+SUM(F382:F$501)</f>
        <v>14.676988938246001</v>
      </c>
      <c r="O381" s="914">
        <f>+SUM(G382:G$501)</f>
        <v>5751.2442448166903</v>
      </c>
      <c r="P381" s="11">
        <f t="shared" si="31"/>
        <v>40.559828416523999</v>
      </c>
      <c r="Q381" s="913">
        <f t="shared" si="32"/>
        <v>0</v>
      </c>
      <c r="R381" s="11">
        <f t="shared" si="33"/>
        <v>0.31749815139100002</v>
      </c>
      <c r="S381" s="913">
        <f t="shared" si="34"/>
        <v>76</v>
      </c>
    </row>
    <row r="382" spans="1:19" x14ac:dyDescent="0.2">
      <c r="A382" s="11">
        <f t="shared" si="35"/>
        <v>380</v>
      </c>
      <c r="B382" s="11">
        <v>18.516857055879829</v>
      </c>
      <c r="C382" s="11"/>
      <c r="D382" s="11"/>
      <c r="E382" s="11">
        <v>41.325432615485205</v>
      </c>
      <c r="F382" s="11"/>
      <c r="G382" s="11">
        <v>59.842289671365037</v>
      </c>
      <c r="H382" s="11"/>
      <c r="I382" s="914">
        <f>+SUM(B383:B$501)</f>
        <v>401.76524096235477</v>
      </c>
      <c r="J382" s="914">
        <f>+SUM(C383:C$501)</f>
        <v>248.65813938808699</v>
      </c>
      <c r="K382" s="914">
        <f t="shared" si="30"/>
        <v>650.42338035044179</v>
      </c>
      <c r="L382" s="914">
        <f>+SUM(D383:D$501)</f>
        <v>112.22037925918337</v>
      </c>
      <c r="M382" s="914">
        <f>+SUM(E383:E$501)</f>
        <v>4914.0812065974578</v>
      </c>
      <c r="N382" s="914">
        <f>+SUM(F383:F$501)</f>
        <v>14.676988938246001</v>
      </c>
      <c r="O382" s="914">
        <f>+SUM(G383:G$501)</f>
        <v>5691.4019551453248</v>
      </c>
      <c r="P382" s="11">
        <f t="shared" si="31"/>
        <v>41.325432615485205</v>
      </c>
      <c r="Q382" s="913">
        <f t="shared" si="32"/>
        <v>0</v>
      </c>
      <c r="R382" s="11">
        <f t="shared" si="33"/>
        <v>0.31749815139100002</v>
      </c>
      <c r="S382" s="913">
        <f t="shared" si="34"/>
        <v>75</v>
      </c>
    </row>
    <row r="383" spans="1:19" x14ac:dyDescent="0.2">
      <c r="A383" s="11">
        <f t="shared" si="35"/>
        <v>381</v>
      </c>
      <c r="B383" s="11">
        <v>14.2019424974042</v>
      </c>
      <c r="C383" s="11"/>
      <c r="D383" s="11"/>
      <c r="E383" s="11">
        <v>41.892375455026901</v>
      </c>
      <c r="F383" s="11"/>
      <c r="G383" s="11">
        <v>56.094317952431098</v>
      </c>
      <c r="H383" s="11"/>
      <c r="I383" s="914">
        <f>+SUM(B384:B$501)</f>
        <v>387.56329846495061</v>
      </c>
      <c r="J383" s="914">
        <f>+SUM(C384:C$501)</f>
        <v>248.65813938808699</v>
      </c>
      <c r="K383" s="914">
        <f t="shared" si="30"/>
        <v>636.22143785303763</v>
      </c>
      <c r="L383" s="914">
        <f>+SUM(D384:D$501)</f>
        <v>112.22037925918337</v>
      </c>
      <c r="M383" s="914">
        <f>+SUM(E384:E$501)</f>
        <v>4872.1888311424309</v>
      </c>
      <c r="N383" s="914">
        <f>+SUM(F384:F$501)</f>
        <v>14.676988938246001</v>
      </c>
      <c r="O383" s="914">
        <f>+SUM(G384:G$501)</f>
        <v>5635.3076371928946</v>
      </c>
      <c r="P383" s="11">
        <f t="shared" si="31"/>
        <v>41.892375455026901</v>
      </c>
      <c r="Q383" s="913">
        <f t="shared" si="32"/>
        <v>0</v>
      </c>
      <c r="R383" s="11">
        <f t="shared" si="33"/>
        <v>0.31749815139100002</v>
      </c>
      <c r="S383" s="913">
        <f t="shared" si="34"/>
        <v>74</v>
      </c>
    </row>
    <row r="384" spans="1:19" x14ac:dyDescent="0.2">
      <c r="A384" s="11">
        <f t="shared" si="35"/>
        <v>382</v>
      </c>
      <c r="B384" s="11">
        <v>14.347600916243801</v>
      </c>
      <c r="C384" s="11"/>
      <c r="D384" s="11"/>
      <c r="E384" s="11">
        <v>31.308804140391</v>
      </c>
      <c r="F384" s="11"/>
      <c r="G384" s="11">
        <v>45.656405056634803</v>
      </c>
      <c r="H384" s="11"/>
      <c r="I384" s="914">
        <f>+SUM(B385:B$501)</f>
        <v>373.21569754870677</v>
      </c>
      <c r="J384" s="914">
        <f>+SUM(C385:C$501)</f>
        <v>248.65813938808699</v>
      </c>
      <c r="K384" s="914">
        <f t="shared" si="30"/>
        <v>621.87383693679374</v>
      </c>
      <c r="L384" s="914">
        <f>+SUM(D385:D$501)</f>
        <v>112.22037925918337</v>
      </c>
      <c r="M384" s="914">
        <f>+SUM(E385:E$501)</f>
        <v>4840.8800270020392</v>
      </c>
      <c r="N384" s="914">
        <f>+SUM(F385:F$501)</f>
        <v>14.676988938246001</v>
      </c>
      <c r="O384" s="914">
        <f>+SUM(G385:G$501)</f>
        <v>5589.6512321362598</v>
      </c>
      <c r="P384" s="11">
        <f t="shared" si="31"/>
        <v>31.308804140391</v>
      </c>
      <c r="Q384" s="913">
        <f t="shared" si="32"/>
        <v>0</v>
      </c>
      <c r="R384" s="11">
        <f t="shared" si="33"/>
        <v>0.31749815139100002</v>
      </c>
      <c r="S384" s="913">
        <f t="shared" si="34"/>
        <v>73</v>
      </c>
    </row>
    <row r="385" spans="1:19" x14ac:dyDescent="0.2">
      <c r="A385" s="11">
        <f t="shared" si="35"/>
        <v>383</v>
      </c>
      <c r="B385" s="11">
        <v>13.021018347106931</v>
      </c>
      <c r="C385" s="11"/>
      <c r="D385" s="11"/>
      <c r="E385" s="11">
        <v>31.987352369332999</v>
      </c>
      <c r="F385" s="11"/>
      <c r="G385" s="11">
        <v>45.008370716439927</v>
      </c>
      <c r="H385" s="11"/>
      <c r="I385" s="914">
        <f>+SUM(B386:B$501)</f>
        <v>360.1946792015998</v>
      </c>
      <c r="J385" s="914">
        <f>+SUM(C386:C$501)</f>
        <v>248.65813938808699</v>
      </c>
      <c r="K385" s="914">
        <f t="shared" si="30"/>
        <v>608.85281858968676</v>
      </c>
      <c r="L385" s="914">
        <f>+SUM(D386:D$501)</f>
        <v>112.22037925918337</v>
      </c>
      <c r="M385" s="914">
        <f>+SUM(E386:E$501)</f>
        <v>4808.8926746327061</v>
      </c>
      <c r="N385" s="914">
        <f>+SUM(F386:F$501)</f>
        <v>14.676988938246001</v>
      </c>
      <c r="O385" s="914">
        <f>+SUM(G386:G$501)</f>
        <v>5544.6428614198203</v>
      </c>
      <c r="P385" s="11">
        <f t="shared" si="31"/>
        <v>31.987352369332999</v>
      </c>
      <c r="Q385" s="913">
        <f t="shared" si="32"/>
        <v>0</v>
      </c>
      <c r="R385" s="11">
        <f t="shared" si="33"/>
        <v>0.31749815139100002</v>
      </c>
      <c r="S385" s="913">
        <f t="shared" si="34"/>
        <v>72</v>
      </c>
    </row>
    <row r="386" spans="1:19" x14ac:dyDescent="0.2">
      <c r="A386" s="11">
        <f t="shared" si="35"/>
        <v>384</v>
      </c>
      <c r="B386" s="11">
        <v>10.996683516668861</v>
      </c>
      <c r="C386" s="11"/>
      <c r="D386" s="11"/>
      <c r="E386" s="11">
        <v>33.243233686890001</v>
      </c>
      <c r="F386" s="11"/>
      <c r="G386" s="11">
        <v>44.239917203558861</v>
      </c>
      <c r="H386" s="11"/>
      <c r="I386" s="914">
        <f>+SUM(B387:B$501)</f>
        <v>349.19799568493102</v>
      </c>
      <c r="J386" s="914">
        <f>+SUM(C387:C$501)</f>
        <v>248.65813938808699</v>
      </c>
      <c r="K386" s="914">
        <f t="shared" si="30"/>
        <v>597.85613507301798</v>
      </c>
      <c r="L386" s="914">
        <f>+SUM(D387:D$501)</f>
        <v>112.22037925918337</v>
      </c>
      <c r="M386" s="914">
        <f>+SUM(E387:E$501)</f>
        <v>4775.6494409458164</v>
      </c>
      <c r="N386" s="914">
        <f>+SUM(F387:F$501)</f>
        <v>14.676988938246001</v>
      </c>
      <c r="O386" s="914">
        <f>+SUM(G387:G$501)</f>
        <v>5500.4029442162619</v>
      </c>
      <c r="P386" s="11">
        <f t="shared" si="31"/>
        <v>33.243233686890001</v>
      </c>
      <c r="Q386" s="913">
        <f t="shared" si="32"/>
        <v>0</v>
      </c>
      <c r="R386" s="11">
        <f t="shared" si="33"/>
        <v>0.31749815139100002</v>
      </c>
      <c r="S386" s="913">
        <f t="shared" si="34"/>
        <v>71</v>
      </c>
    </row>
    <row r="387" spans="1:19" x14ac:dyDescent="0.2">
      <c r="A387" s="11">
        <f t="shared" si="35"/>
        <v>385</v>
      </c>
      <c r="B387" s="11">
        <v>15.175878356806999</v>
      </c>
      <c r="C387" s="11">
        <v>4.8268172852299999E-2</v>
      </c>
      <c r="D387" s="11"/>
      <c r="E387" s="11">
        <v>28.3767844286402</v>
      </c>
      <c r="F387" s="11"/>
      <c r="G387" s="11">
        <v>43.6009309582995</v>
      </c>
      <c r="H387" s="11"/>
      <c r="I387" s="914">
        <f>+SUM(B388:B$501)</f>
        <v>334.02211732812407</v>
      </c>
      <c r="J387" s="914">
        <f>+SUM(C388:C$501)</f>
        <v>248.60987121523468</v>
      </c>
      <c r="K387" s="914">
        <f t="shared" si="30"/>
        <v>582.63198854335872</v>
      </c>
      <c r="L387" s="914">
        <f>+SUM(D388:D$501)</f>
        <v>112.22037925918337</v>
      </c>
      <c r="M387" s="914">
        <f>+SUM(E388:E$501)</f>
        <v>4747.272656517177</v>
      </c>
      <c r="N387" s="914">
        <f>+SUM(F388:F$501)</f>
        <v>14.676988938246001</v>
      </c>
      <c r="O387" s="914">
        <f>+SUM(G388:G$501)</f>
        <v>5456.8020132579632</v>
      </c>
      <c r="P387" s="11">
        <f t="shared" si="31"/>
        <v>28.3767844286402</v>
      </c>
      <c r="Q387" s="913">
        <f t="shared" si="32"/>
        <v>0</v>
      </c>
      <c r="R387" s="11">
        <f t="shared" si="33"/>
        <v>0.31749815139100002</v>
      </c>
      <c r="S387" s="913">
        <f t="shared" si="34"/>
        <v>70</v>
      </c>
    </row>
    <row r="388" spans="1:19" x14ac:dyDescent="0.2">
      <c r="A388" s="11">
        <f t="shared" si="35"/>
        <v>386</v>
      </c>
      <c r="B388" s="11">
        <v>13.289693595595001</v>
      </c>
      <c r="C388" s="11">
        <v>2.3543913721299998</v>
      </c>
      <c r="D388" s="11"/>
      <c r="E388" s="11">
        <v>27.4510040260894</v>
      </c>
      <c r="F388" s="11"/>
      <c r="G388" s="11">
        <v>43.0950889938144</v>
      </c>
      <c r="H388" s="11"/>
      <c r="I388" s="914">
        <f>+SUM(B389:B$501)</f>
        <v>320.73242373252901</v>
      </c>
      <c r="J388" s="914">
        <f>+SUM(C389:C$501)</f>
        <v>246.25547984310469</v>
      </c>
      <c r="K388" s="914">
        <f t="shared" ref="K388:K451" si="36">+I388+J388</f>
        <v>566.98790357563371</v>
      </c>
      <c r="L388" s="914">
        <f>+SUM(D389:D$501)</f>
        <v>112.22037925918337</v>
      </c>
      <c r="M388" s="914">
        <f>+SUM(E389:E$501)</f>
        <v>4719.8216524910868</v>
      </c>
      <c r="N388" s="914">
        <f>+SUM(F389:F$501)</f>
        <v>14.676988938246001</v>
      </c>
      <c r="O388" s="914">
        <f>+SUM(G389:G$501)</f>
        <v>5413.7069242641483</v>
      </c>
      <c r="P388" s="11">
        <f t="shared" ref="P388:P451" si="37">IF(E388&gt;0,E388,P389)</f>
        <v>27.4510040260894</v>
      </c>
      <c r="Q388" s="913">
        <f t="shared" ref="Q388:Q451" si="38">+IF(E388&gt;0, 0, Q389+A389-A388)</f>
        <v>0</v>
      </c>
      <c r="R388" s="11">
        <f t="shared" ref="R388:R451" si="39">IF(F388&gt;0,F388,R389)</f>
        <v>0.31749815139100002</v>
      </c>
      <c r="S388" s="913">
        <f t="shared" ref="S388:S451" si="40">+IF(F388&gt;0, 0, S389+A389-A388)</f>
        <v>69</v>
      </c>
    </row>
    <row r="389" spans="1:19" x14ac:dyDescent="0.2">
      <c r="A389" s="11">
        <f t="shared" si="35"/>
        <v>387</v>
      </c>
      <c r="B389" s="11">
        <v>14.539702868104101</v>
      </c>
      <c r="C389" s="11">
        <v>2.446590101914925</v>
      </c>
      <c r="D389" s="11"/>
      <c r="E389" s="11">
        <v>26.077197496448001</v>
      </c>
      <c r="F389" s="11"/>
      <c r="G389" s="11">
        <v>43.06349046646703</v>
      </c>
      <c r="H389" s="11"/>
      <c r="I389" s="914">
        <f>+SUM(B390:B$501)</f>
        <v>306.19272086442498</v>
      </c>
      <c r="J389" s="914">
        <f>+SUM(C390:C$501)</f>
        <v>243.8088897411898</v>
      </c>
      <c r="K389" s="914">
        <f t="shared" si="36"/>
        <v>550.00161060561481</v>
      </c>
      <c r="L389" s="914">
        <f>+SUM(D390:D$501)</f>
        <v>112.22037925918337</v>
      </c>
      <c r="M389" s="914">
        <f>+SUM(E390:E$501)</f>
        <v>4693.7444549946385</v>
      </c>
      <c r="N389" s="914">
        <f>+SUM(F390:F$501)</f>
        <v>14.676988938246001</v>
      </c>
      <c r="O389" s="914">
        <f>+SUM(G390:G$501)</f>
        <v>5370.6434337976816</v>
      </c>
      <c r="P389" s="11">
        <f t="shared" si="37"/>
        <v>26.077197496448001</v>
      </c>
      <c r="Q389" s="913">
        <f t="shared" si="38"/>
        <v>0</v>
      </c>
      <c r="R389" s="11">
        <f t="shared" si="39"/>
        <v>0.31749815139100002</v>
      </c>
      <c r="S389" s="913">
        <f t="shared" si="40"/>
        <v>68</v>
      </c>
    </row>
    <row r="390" spans="1:19" x14ac:dyDescent="0.2">
      <c r="A390" s="11">
        <f t="shared" ref="A390:A453" si="41">1+A389</f>
        <v>388</v>
      </c>
      <c r="B390" s="11">
        <v>12.498166735276051</v>
      </c>
      <c r="C390" s="11">
        <v>0.26294584825470002</v>
      </c>
      <c r="D390" s="11"/>
      <c r="E390" s="11">
        <v>30.436238281655001</v>
      </c>
      <c r="F390" s="11"/>
      <c r="G390" s="11">
        <v>43.197350865185754</v>
      </c>
      <c r="H390" s="11"/>
      <c r="I390" s="914">
        <f>+SUM(B391:B$501)</f>
        <v>293.69455412914891</v>
      </c>
      <c r="J390" s="914">
        <f>+SUM(C391:C$501)</f>
        <v>243.5459438929351</v>
      </c>
      <c r="K390" s="914">
        <f t="shared" si="36"/>
        <v>537.24049802208401</v>
      </c>
      <c r="L390" s="914">
        <f>+SUM(D391:D$501)</f>
        <v>112.22037925918337</v>
      </c>
      <c r="M390" s="914">
        <f>+SUM(E391:E$501)</f>
        <v>4663.3082167129842</v>
      </c>
      <c r="N390" s="914">
        <f>+SUM(F391:F$501)</f>
        <v>14.676988938246001</v>
      </c>
      <c r="O390" s="914">
        <f>+SUM(G391:G$501)</f>
        <v>5327.4460829324962</v>
      </c>
      <c r="P390" s="11">
        <f t="shared" si="37"/>
        <v>30.436238281655001</v>
      </c>
      <c r="Q390" s="913">
        <f t="shared" si="38"/>
        <v>0</v>
      </c>
      <c r="R390" s="11">
        <f t="shared" si="39"/>
        <v>0.31749815139100002</v>
      </c>
      <c r="S390" s="913">
        <f t="shared" si="40"/>
        <v>67</v>
      </c>
    </row>
    <row r="391" spans="1:19" x14ac:dyDescent="0.2">
      <c r="A391" s="11">
        <f t="shared" si="41"/>
        <v>389</v>
      </c>
      <c r="B391" s="11">
        <v>6.1455761620828007</v>
      </c>
      <c r="C391" s="11">
        <v>0.69246877416140007</v>
      </c>
      <c r="D391" s="11"/>
      <c r="E391" s="11">
        <v>36.382545708477998</v>
      </c>
      <c r="F391" s="11"/>
      <c r="G391" s="11">
        <v>43.220590644722201</v>
      </c>
      <c r="H391" s="11"/>
      <c r="I391" s="914">
        <f>+SUM(B392:B$501)</f>
        <v>287.54897796706609</v>
      </c>
      <c r="J391" s="914">
        <f>+SUM(C392:C$501)</f>
        <v>242.8534751187737</v>
      </c>
      <c r="K391" s="914">
        <f t="shared" si="36"/>
        <v>530.40245308583985</v>
      </c>
      <c r="L391" s="914">
        <f>+SUM(D392:D$501)</f>
        <v>112.22037925918337</v>
      </c>
      <c r="M391" s="914">
        <f>+SUM(E392:E$501)</f>
        <v>4626.9256710045056</v>
      </c>
      <c r="N391" s="914">
        <f>+SUM(F392:F$501)</f>
        <v>14.676988938246001</v>
      </c>
      <c r="O391" s="914">
        <f>+SUM(G392:G$501)</f>
        <v>5284.2254922877737</v>
      </c>
      <c r="P391" s="11">
        <f t="shared" si="37"/>
        <v>36.382545708477998</v>
      </c>
      <c r="Q391" s="913">
        <f t="shared" si="38"/>
        <v>0</v>
      </c>
      <c r="R391" s="11">
        <f t="shared" si="39"/>
        <v>0.31749815139100002</v>
      </c>
      <c r="S391" s="913">
        <f t="shared" si="40"/>
        <v>66</v>
      </c>
    </row>
    <row r="392" spans="1:19" x14ac:dyDescent="0.2">
      <c r="A392" s="11">
        <f t="shared" si="41"/>
        <v>390</v>
      </c>
      <c r="B392" s="11">
        <v>1.8422666794024338</v>
      </c>
      <c r="C392" s="11">
        <v>1.448973188091</v>
      </c>
      <c r="D392" s="11"/>
      <c r="E392" s="11">
        <v>39.830468681720006</v>
      </c>
      <c r="F392" s="11"/>
      <c r="G392" s="11">
        <v>43.121708549213437</v>
      </c>
      <c r="H392" s="11"/>
      <c r="I392" s="914">
        <f>+SUM(B393:B$501)</f>
        <v>285.70671128766367</v>
      </c>
      <c r="J392" s="914">
        <f>+SUM(C393:C$501)</f>
        <v>241.4045019306827</v>
      </c>
      <c r="K392" s="914">
        <f t="shared" si="36"/>
        <v>527.11121321834639</v>
      </c>
      <c r="L392" s="914">
        <f>+SUM(D393:D$501)</f>
        <v>112.22037925918337</v>
      </c>
      <c r="M392" s="914">
        <f>+SUM(E393:E$501)</f>
        <v>4587.0952023227865</v>
      </c>
      <c r="N392" s="914">
        <f>+SUM(F393:F$501)</f>
        <v>14.676988938246001</v>
      </c>
      <c r="O392" s="914">
        <f>+SUM(G393:G$501)</f>
        <v>5241.1037837385602</v>
      </c>
      <c r="P392" s="11">
        <f t="shared" si="37"/>
        <v>39.830468681720006</v>
      </c>
      <c r="Q392" s="913">
        <f t="shared" si="38"/>
        <v>0</v>
      </c>
      <c r="R392" s="11">
        <f t="shared" si="39"/>
        <v>0.31749815139100002</v>
      </c>
      <c r="S392" s="913">
        <f t="shared" si="40"/>
        <v>65</v>
      </c>
    </row>
    <row r="393" spans="1:19" x14ac:dyDescent="0.2">
      <c r="A393" s="11">
        <f t="shared" si="41"/>
        <v>391</v>
      </c>
      <c r="B393" s="11">
        <v>3.4210711891740999</v>
      </c>
      <c r="C393" s="11">
        <v>0.62389318251400006</v>
      </c>
      <c r="D393" s="11"/>
      <c r="E393" s="11">
        <v>38.899131680693152</v>
      </c>
      <c r="F393" s="11"/>
      <c r="G393" s="11">
        <v>42.944096052381255</v>
      </c>
      <c r="H393" s="11"/>
      <c r="I393" s="914">
        <f>+SUM(B394:B$501)</f>
        <v>282.28564009848952</v>
      </c>
      <c r="J393" s="914">
        <f>+SUM(C394:C$501)</f>
        <v>240.7806087481687</v>
      </c>
      <c r="K393" s="914">
        <f t="shared" si="36"/>
        <v>523.06624884665825</v>
      </c>
      <c r="L393" s="914">
        <f>+SUM(D394:D$501)</f>
        <v>112.22037925918337</v>
      </c>
      <c r="M393" s="914">
        <f>+SUM(E394:E$501)</f>
        <v>4548.196070642095</v>
      </c>
      <c r="N393" s="914">
        <f>+SUM(F394:F$501)</f>
        <v>14.676988938246001</v>
      </c>
      <c r="O393" s="914">
        <f>+SUM(G394:G$501)</f>
        <v>5198.1596876861786</v>
      </c>
      <c r="P393" s="11">
        <f t="shared" si="37"/>
        <v>38.899131680693152</v>
      </c>
      <c r="Q393" s="913">
        <f t="shared" si="38"/>
        <v>0</v>
      </c>
      <c r="R393" s="11">
        <f t="shared" si="39"/>
        <v>0.31749815139100002</v>
      </c>
      <c r="S393" s="913">
        <f t="shared" si="40"/>
        <v>64</v>
      </c>
    </row>
    <row r="394" spans="1:19" x14ac:dyDescent="0.2">
      <c r="A394" s="11">
        <f t="shared" si="41"/>
        <v>392</v>
      </c>
      <c r="B394" s="11">
        <v>4.4530923055099993</v>
      </c>
      <c r="C394" s="11">
        <v>0.25629933346700001</v>
      </c>
      <c r="D394" s="11"/>
      <c r="E394" s="11">
        <v>37.980505510145498</v>
      </c>
      <c r="F394" s="11"/>
      <c r="G394" s="11">
        <v>42.689897149122501</v>
      </c>
      <c r="H394" s="11"/>
      <c r="I394" s="914">
        <f>+SUM(B395:B$501)</f>
        <v>277.83254779297948</v>
      </c>
      <c r="J394" s="914">
        <f>+SUM(C395:C$501)</f>
        <v>240.52430941470169</v>
      </c>
      <c r="K394" s="914">
        <f t="shared" si="36"/>
        <v>518.35685720768117</v>
      </c>
      <c r="L394" s="914">
        <f>+SUM(D395:D$501)</f>
        <v>112.22037925918337</v>
      </c>
      <c r="M394" s="914">
        <f>+SUM(E395:E$501)</f>
        <v>4510.215565131949</v>
      </c>
      <c r="N394" s="914">
        <f>+SUM(F395:F$501)</f>
        <v>14.676988938246001</v>
      </c>
      <c r="O394" s="914">
        <f>+SUM(G395:G$501)</f>
        <v>5155.4697905370567</v>
      </c>
      <c r="P394" s="11">
        <f t="shared" si="37"/>
        <v>37.980505510145498</v>
      </c>
      <c r="Q394" s="913">
        <f t="shared" si="38"/>
        <v>0</v>
      </c>
      <c r="R394" s="11">
        <f t="shared" si="39"/>
        <v>0.31749815139100002</v>
      </c>
      <c r="S394" s="913">
        <f t="shared" si="40"/>
        <v>63</v>
      </c>
    </row>
    <row r="395" spans="1:19" x14ac:dyDescent="0.2">
      <c r="A395" s="11">
        <f t="shared" si="41"/>
        <v>393</v>
      </c>
      <c r="B395" s="11">
        <v>2.4019299217689998</v>
      </c>
      <c r="C395" s="11">
        <v>8.16924801181E-2</v>
      </c>
      <c r="D395" s="11"/>
      <c r="E395" s="11">
        <v>40.003670703271801</v>
      </c>
      <c r="F395" s="11"/>
      <c r="G395" s="11">
        <v>42.487293105158898</v>
      </c>
      <c r="H395" s="11"/>
      <c r="I395" s="914">
        <f>+SUM(B396:B$501)</f>
        <v>275.43061787121053</v>
      </c>
      <c r="J395" s="914">
        <f>+SUM(C396:C$501)</f>
        <v>240.44261693458361</v>
      </c>
      <c r="K395" s="914">
        <f t="shared" si="36"/>
        <v>515.87323480579414</v>
      </c>
      <c r="L395" s="914">
        <f>+SUM(D396:D$501)</f>
        <v>112.22037925918337</v>
      </c>
      <c r="M395" s="914">
        <f>+SUM(E396:E$501)</f>
        <v>4470.2118944286767</v>
      </c>
      <c r="N395" s="914">
        <f>+SUM(F396:F$501)</f>
        <v>14.676988938246001</v>
      </c>
      <c r="O395" s="914">
        <f>+SUM(G396:G$501)</f>
        <v>5112.9824974318972</v>
      </c>
      <c r="P395" s="11">
        <f t="shared" si="37"/>
        <v>40.003670703271801</v>
      </c>
      <c r="Q395" s="913">
        <f t="shared" si="38"/>
        <v>0</v>
      </c>
      <c r="R395" s="11">
        <f t="shared" si="39"/>
        <v>0.31749815139100002</v>
      </c>
      <c r="S395" s="913">
        <f t="shared" si="40"/>
        <v>62</v>
      </c>
    </row>
    <row r="396" spans="1:19" x14ac:dyDescent="0.2">
      <c r="A396" s="11">
        <f t="shared" si="41"/>
        <v>394</v>
      </c>
      <c r="B396" s="11">
        <v>1.163945217977</v>
      </c>
      <c r="C396" s="11"/>
      <c r="D396" s="11"/>
      <c r="E396" s="11">
        <v>41.267307495681209</v>
      </c>
      <c r="F396" s="11"/>
      <c r="G396" s="11">
        <v>42.43125271365821</v>
      </c>
      <c r="H396" s="11"/>
      <c r="I396" s="914">
        <f>+SUM(B397:B$501)</f>
        <v>274.26667265323351</v>
      </c>
      <c r="J396" s="914">
        <f>+SUM(C397:C$501)</f>
        <v>240.44261693458361</v>
      </c>
      <c r="K396" s="914">
        <f t="shared" si="36"/>
        <v>514.70928958781712</v>
      </c>
      <c r="L396" s="914">
        <f>+SUM(D397:D$501)</f>
        <v>112.22037925918337</v>
      </c>
      <c r="M396" s="914">
        <f>+SUM(E397:E$501)</f>
        <v>4428.9445869329948</v>
      </c>
      <c r="N396" s="914">
        <f>+SUM(F397:F$501)</f>
        <v>14.676988938246001</v>
      </c>
      <c r="O396" s="914">
        <f>+SUM(G397:G$501)</f>
        <v>5070.5512447182391</v>
      </c>
      <c r="P396" s="11">
        <f t="shared" si="37"/>
        <v>41.267307495681209</v>
      </c>
      <c r="Q396" s="913">
        <f t="shared" si="38"/>
        <v>0</v>
      </c>
      <c r="R396" s="11">
        <f t="shared" si="39"/>
        <v>0.31749815139100002</v>
      </c>
      <c r="S396" s="913">
        <f t="shared" si="40"/>
        <v>61</v>
      </c>
    </row>
    <row r="397" spans="1:19" x14ac:dyDescent="0.2">
      <c r="A397" s="11">
        <f t="shared" si="41"/>
        <v>395</v>
      </c>
      <c r="B397" s="11">
        <v>1.907644527824</v>
      </c>
      <c r="C397" s="11"/>
      <c r="D397" s="11"/>
      <c r="E397" s="11">
        <v>40.071926845323993</v>
      </c>
      <c r="F397" s="11"/>
      <c r="G397" s="11">
        <v>41.979571373147991</v>
      </c>
      <c r="H397" s="11"/>
      <c r="I397" s="914">
        <f>+SUM(B398:B$501)</f>
        <v>272.35902812540951</v>
      </c>
      <c r="J397" s="914">
        <f>+SUM(C398:C$501)</f>
        <v>240.44261693458361</v>
      </c>
      <c r="K397" s="914">
        <f t="shared" si="36"/>
        <v>512.80164505999312</v>
      </c>
      <c r="L397" s="914">
        <f>+SUM(D398:D$501)</f>
        <v>112.22037925918337</v>
      </c>
      <c r="M397" s="914">
        <f>+SUM(E398:E$501)</f>
        <v>4388.8726600876716</v>
      </c>
      <c r="N397" s="914">
        <f>+SUM(F398:F$501)</f>
        <v>14.676988938246001</v>
      </c>
      <c r="O397" s="914">
        <f>+SUM(G398:G$501)</f>
        <v>5028.5716733450909</v>
      </c>
      <c r="P397" s="11">
        <f t="shared" si="37"/>
        <v>40.071926845323993</v>
      </c>
      <c r="Q397" s="913">
        <f t="shared" si="38"/>
        <v>0</v>
      </c>
      <c r="R397" s="11">
        <f t="shared" si="39"/>
        <v>0.31749815139100002</v>
      </c>
      <c r="S397" s="913">
        <f t="shared" si="40"/>
        <v>60</v>
      </c>
    </row>
    <row r="398" spans="1:19" x14ac:dyDescent="0.2">
      <c r="A398" s="11">
        <f t="shared" si="41"/>
        <v>396</v>
      </c>
      <c r="B398" s="11">
        <v>2.3104950750429998</v>
      </c>
      <c r="C398" s="11"/>
      <c r="D398" s="11"/>
      <c r="E398" s="11">
        <v>38.97183067898353</v>
      </c>
      <c r="F398" s="11"/>
      <c r="G398" s="11">
        <v>41.28232575402653</v>
      </c>
      <c r="H398" s="11"/>
      <c r="I398" s="914">
        <f>+SUM(B399:B$501)</f>
        <v>270.04853305036653</v>
      </c>
      <c r="J398" s="914">
        <f>+SUM(C399:C$501)</f>
        <v>240.44261693458361</v>
      </c>
      <c r="K398" s="914">
        <f t="shared" si="36"/>
        <v>510.49114998495014</v>
      </c>
      <c r="L398" s="914">
        <f>+SUM(D399:D$501)</f>
        <v>112.22037925918337</v>
      </c>
      <c r="M398" s="914">
        <f>+SUM(E399:E$501)</f>
        <v>4349.900829408688</v>
      </c>
      <c r="N398" s="914">
        <f>+SUM(F399:F$501)</f>
        <v>14.676988938246001</v>
      </c>
      <c r="O398" s="914">
        <f>+SUM(G399:G$501)</f>
        <v>4987.2893475910641</v>
      </c>
      <c r="P398" s="11">
        <f t="shared" si="37"/>
        <v>38.97183067898353</v>
      </c>
      <c r="Q398" s="913">
        <f t="shared" si="38"/>
        <v>0</v>
      </c>
      <c r="R398" s="11">
        <f t="shared" si="39"/>
        <v>0.31749815139100002</v>
      </c>
      <c r="S398" s="913">
        <f t="shared" si="40"/>
        <v>59</v>
      </c>
    </row>
    <row r="399" spans="1:19" x14ac:dyDescent="0.2">
      <c r="A399" s="11">
        <f t="shared" si="41"/>
        <v>397</v>
      </c>
      <c r="B399" s="11">
        <v>2.2719295037920002</v>
      </c>
      <c r="C399" s="11"/>
      <c r="D399" s="11"/>
      <c r="E399" s="11">
        <v>38.342642074161759</v>
      </c>
      <c r="F399" s="11"/>
      <c r="G399" s="11">
        <v>40.614571577953761</v>
      </c>
      <c r="H399" s="11"/>
      <c r="I399" s="914">
        <f>+SUM(B400:B$501)</f>
        <v>267.77660354657451</v>
      </c>
      <c r="J399" s="914">
        <f>+SUM(C400:C$501)</f>
        <v>240.44261693458361</v>
      </c>
      <c r="K399" s="914">
        <f t="shared" si="36"/>
        <v>508.21922048115812</v>
      </c>
      <c r="L399" s="914">
        <f>+SUM(D400:D$501)</f>
        <v>112.22037925918337</v>
      </c>
      <c r="M399" s="914">
        <f>+SUM(E400:E$501)</f>
        <v>4311.5581873345263</v>
      </c>
      <c r="N399" s="914">
        <f>+SUM(F400:F$501)</f>
        <v>14.676988938246001</v>
      </c>
      <c r="O399" s="914">
        <f>+SUM(G400:G$501)</f>
        <v>4946.6747760131102</v>
      </c>
      <c r="P399" s="11">
        <f t="shared" si="37"/>
        <v>38.342642074161759</v>
      </c>
      <c r="Q399" s="913">
        <f t="shared" si="38"/>
        <v>0</v>
      </c>
      <c r="R399" s="11">
        <f t="shared" si="39"/>
        <v>0.31749815139100002</v>
      </c>
      <c r="S399" s="913">
        <f t="shared" si="40"/>
        <v>58</v>
      </c>
    </row>
    <row r="400" spans="1:19" x14ac:dyDescent="0.2">
      <c r="A400" s="11">
        <f t="shared" si="41"/>
        <v>398</v>
      </c>
      <c r="B400" s="11">
        <v>2.6601758740500001</v>
      </c>
      <c r="C400" s="11"/>
      <c r="D400" s="11"/>
      <c r="E400" s="11">
        <v>37.454430026281003</v>
      </c>
      <c r="F400" s="11"/>
      <c r="G400" s="11">
        <v>40.114605900331</v>
      </c>
      <c r="H400" s="11"/>
      <c r="I400" s="914">
        <f>+SUM(B401:B$501)</f>
        <v>265.11642767252448</v>
      </c>
      <c r="J400" s="914">
        <f>+SUM(C401:C$501)</f>
        <v>240.44261693458361</v>
      </c>
      <c r="K400" s="914">
        <f t="shared" si="36"/>
        <v>505.55904460710809</v>
      </c>
      <c r="L400" s="914">
        <f>+SUM(D401:D$501)</f>
        <v>112.22037925918337</v>
      </c>
      <c r="M400" s="914">
        <f>+SUM(E401:E$501)</f>
        <v>4274.103757308244</v>
      </c>
      <c r="N400" s="914">
        <f>+SUM(F401:F$501)</f>
        <v>14.676988938246001</v>
      </c>
      <c r="O400" s="914">
        <f>+SUM(G401:G$501)</f>
        <v>4906.5601701127789</v>
      </c>
      <c r="P400" s="11">
        <f t="shared" si="37"/>
        <v>37.454430026281003</v>
      </c>
      <c r="Q400" s="913">
        <f t="shared" si="38"/>
        <v>0</v>
      </c>
      <c r="R400" s="11">
        <f t="shared" si="39"/>
        <v>0.31749815139100002</v>
      </c>
      <c r="S400" s="913">
        <f t="shared" si="40"/>
        <v>57</v>
      </c>
    </row>
    <row r="401" spans="1:19" x14ac:dyDescent="0.2">
      <c r="A401" s="11">
        <f t="shared" si="41"/>
        <v>399</v>
      </c>
      <c r="B401" s="11">
        <v>3.1892825771258031</v>
      </c>
      <c r="C401" s="11"/>
      <c r="D401" s="11"/>
      <c r="E401" s="11">
        <v>36.704060232979003</v>
      </c>
      <c r="F401" s="11"/>
      <c r="G401" s="11">
        <v>39.893342810104805</v>
      </c>
      <c r="H401" s="11"/>
      <c r="I401" s="914">
        <f>+SUM(B402:B$501)</f>
        <v>261.92714509539871</v>
      </c>
      <c r="J401" s="914">
        <f>+SUM(C402:C$501)</f>
        <v>240.44261693458361</v>
      </c>
      <c r="K401" s="914">
        <f t="shared" si="36"/>
        <v>502.36976202998233</v>
      </c>
      <c r="L401" s="914">
        <f>+SUM(D402:D$501)</f>
        <v>112.22037925918337</v>
      </c>
      <c r="M401" s="914">
        <f>+SUM(E402:E$501)</f>
        <v>4237.3996970752642</v>
      </c>
      <c r="N401" s="914">
        <f>+SUM(F402:F$501)</f>
        <v>14.676988938246001</v>
      </c>
      <c r="O401" s="914">
        <f>+SUM(G402:G$501)</f>
        <v>4866.6668273026744</v>
      </c>
      <c r="P401" s="11">
        <f t="shared" si="37"/>
        <v>36.704060232979003</v>
      </c>
      <c r="Q401" s="913">
        <f t="shared" si="38"/>
        <v>0</v>
      </c>
      <c r="R401" s="11">
        <f t="shared" si="39"/>
        <v>0.31749815139100002</v>
      </c>
      <c r="S401" s="913">
        <f t="shared" si="40"/>
        <v>56</v>
      </c>
    </row>
    <row r="402" spans="1:19" x14ac:dyDescent="0.2">
      <c r="A402" s="11">
        <f t="shared" si="41"/>
        <v>400</v>
      </c>
      <c r="B402" s="11">
        <v>3.85731602756</v>
      </c>
      <c r="C402" s="11"/>
      <c r="D402" s="11"/>
      <c r="E402" s="11">
        <v>35.928821772538775</v>
      </c>
      <c r="F402" s="11"/>
      <c r="G402" s="11">
        <v>39.786137800098778</v>
      </c>
      <c r="H402" s="11"/>
      <c r="I402" s="914">
        <f>+SUM(B403:B$501)</f>
        <v>258.06982906783873</v>
      </c>
      <c r="J402" s="914">
        <f>+SUM(C403:C$501)</f>
        <v>240.44261693458361</v>
      </c>
      <c r="K402" s="914">
        <f t="shared" si="36"/>
        <v>498.51244600242234</v>
      </c>
      <c r="L402" s="914">
        <f>+SUM(D403:D$501)</f>
        <v>112.22037925918337</v>
      </c>
      <c r="M402" s="914">
        <f>+SUM(E403:E$501)</f>
        <v>4201.4708753027271</v>
      </c>
      <c r="N402" s="914">
        <f>+SUM(F403:F$501)</f>
        <v>14.676988938246001</v>
      </c>
      <c r="O402" s="914">
        <f>+SUM(G403:G$501)</f>
        <v>4826.8806895025746</v>
      </c>
      <c r="P402" s="11">
        <f t="shared" si="37"/>
        <v>35.928821772538775</v>
      </c>
      <c r="Q402" s="913">
        <f t="shared" si="38"/>
        <v>0</v>
      </c>
      <c r="R402" s="11">
        <f t="shared" si="39"/>
        <v>0.31749815139100002</v>
      </c>
      <c r="S402" s="913">
        <f t="shared" si="40"/>
        <v>55</v>
      </c>
    </row>
    <row r="403" spans="1:19" x14ac:dyDescent="0.2">
      <c r="A403" s="11">
        <f t="shared" si="41"/>
        <v>401</v>
      </c>
      <c r="B403" s="11">
        <v>1.7658703039579999</v>
      </c>
      <c r="C403" s="11"/>
      <c r="D403" s="11"/>
      <c r="E403" s="11">
        <v>37.941630341139998</v>
      </c>
      <c r="F403" s="11"/>
      <c r="G403" s="11">
        <v>39.707500645098001</v>
      </c>
      <c r="H403" s="11"/>
      <c r="I403" s="914">
        <f>+SUM(B404:B$501)</f>
        <v>256.3039587638807</v>
      </c>
      <c r="J403" s="914">
        <f>+SUM(C404:C$501)</f>
        <v>240.44261693458361</v>
      </c>
      <c r="K403" s="914">
        <f t="shared" si="36"/>
        <v>496.74657569846431</v>
      </c>
      <c r="L403" s="914">
        <f>+SUM(D404:D$501)</f>
        <v>112.22037925918337</v>
      </c>
      <c r="M403" s="914">
        <f>+SUM(E404:E$501)</f>
        <v>4163.5292449615872</v>
      </c>
      <c r="N403" s="914">
        <f>+SUM(F404:F$501)</f>
        <v>14.676988938246001</v>
      </c>
      <c r="O403" s="914">
        <f>+SUM(G404:G$501)</f>
        <v>4787.1731888574768</v>
      </c>
      <c r="P403" s="11">
        <f t="shared" si="37"/>
        <v>37.941630341139998</v>
      </c>
      <c r="Q403" s="913">
        <f t="shared" si="38"/>
        <v>0</v>
      </c>
      <c r="R403" s="11">
        <f t="shared" si="39"/>
        <v>0.31749815139100002</v>
      </c>
      <c r="S403" s="913">
        <f t="shared" si="40"/>
        <v>54</v>
      </c>
    </row>
    <row r="404" spans="1:19" x14ac:dyDescent="0.2">
      <c r="A404" s="11">
        <f t="shared" si="41"/>
        <v>402</v>
      </c>
      <c r="B404" s="11">
        <v>1.7990805482654699</v>
      </c>
      <c r="C404" s="11">
        <v>0.97480629594993007</v>
      </c>
      <c r="D404" s="11"/>
      <c r="E404" s="11">
        <v>34.156993276951638</v>
      </c>
      <c r="F404" s="11"/>
      <c r="G404" s="11">
        <v>36.930880121167036</v>
      </c>
      <c r="H404" s="11"/>
      <c r="I404" s="914">
        <f>+SUM(B405:B$501)</f>
        <v>254.50487821561524</v>
      </c>
      <c r="J404" s="914">
        <f>+SUM(C405:C$501)</f>
        <v>239.46781063863364</v>
      </c>
      <c r="K404" s="914">
        <f t="shared" si="36"/>
        <v>493.97268885424887</v>
      </c>
      <c r="L404" s="914">
        <f>+SUM(D405:D$501)</f>
        <v>112.22037925918337</v>
      </c>
      <c r="M404" s="914">
        <f>+SUM(E405:E$501)</f>
        <v>4129.3722516846365</v>
      </c>
      <c r="N404" s="914">
        <f>+SUM(F405:F$501)</f>
        <v>14.676988938246001</v>
      </c>
      <c r="O404" s="914">
        <f>+SUM(G405:G$501)</f>
        <v>4750.2423087363095</v>
      </c>
      <c r="P404" s="11">
        <f t="shared" si="37"/>
        <v>34.156993276951638</v>
      </c>
      <c r="Q404" s="913">
        <f t="shared" si="38"/>
        <v>0</v>
      </c>
      <c r="R404" s="11">
        <f t="shared" si="39"/>
        <v>0.31749815139100002</v>
      </c>
      <c r="S404" s="913">
        <f t="shared" si="40"/>
        <v>53</v>
      </c>
    </row>
    <row r="405" spans="1:19" x14ac:dyDescent="0.2">
      <c r="A405" s="11">
        <f t="shared" si="41"/>
        <v>403</v>
      </c>
      <c r="B405" s="11">
        <v>0.98324752416825001</v>
      </c>
      <c r="C405" s="11">
        <v>0.98706908096883006</v>
      </c>
      <c r="D405" s="11"/>
      <c r="E405" s="11">
        <v>34.173408252626643</v>
      </c>
      <c r="F405" s="11"/>
      <c r="G405" s="11">
        <v>36.143724857763722</v>
      </c>
      <c r="H405" s="11"/>
      <c r="I405" s="914">
        <f>+SUM(B406:B$501)</f>
        <v>253.52163069144694</v>
      </c>
      <c r="J405" s="914">
        <f>+SUM(C406:C$501)</f>
        <v>238.48074155766483</v>
      </c>
      <c r="K405" s="914">
        <f t="shared" si="36"/>
        <v>492.00237224911177</v>
      </c>
      <c r="L405" s="914">
        <f>+SUM(D406:D$501)</f>
        <v>112.22037925918337</v>
      </c>
      <c r="M405" s="914">
        <f>+SUM(E406:E$501)</f>
        <v>4095.1988434320078</v>
      </c>
      <c r="N405" s="914">
        <f>+SUM(F406:F$501)</f>
        <v>14.676988938246001</v>
      </c>
      <c r="O405" s="914">
        <f>+SUM(G406:G$501)</f>
        <v>4714.0985838785455</v>
      </c>
      <c r="P405" s="11">
        <f t="shared" si="37"/>
        <v>34.173408252626643</v>
      </c>
      <c r="Q405" s="913">
        <f t="shared" si="38"/>
        <v>0</v>
      </c>
      <c r="R405" s="11">
        <f t="shared" si="39"/>
        <v>0.31749815139100002</v>
      </c>
      <c r="S405" s="913">
        <f t="shared" si="40"/>
        <v>52</v>
      </c>
    </row>
    <row r="406" spans="1:19" x14ac:dyDescent="0.2">
      <c r="A406" s="11">
        <f t="shared" si="41"/>
        <v>404</v>
      </c>
      <c r="B406" s="11">
        <v>1.8387932542229999</v>
      </c>
      <c r="C406" s="11">
        <v>3.4518399082842</v>
      </c>
      <c r="D406" s="11">
        <v>7.9628367306700004E-2</v>
      </c>
      <c r="E406" s="11">
        <v>31.583678544792004</v>
      </c>
      <c r="F406" s="11"/>
      <c r="G406" s="11">
        <v>36.953940074605903</v>
      </c>
      <c r="H406" s="11"/>
      <c r="I406" s="914">
        <f>+SUM(B407:B$501)</f>
        <v>251.68283743722395</v>
      </c>
      <c r="J406" s="914">
        <f>+SUM(C407:C$501)</f>
        <v>235.02890164938066</v>
      </c>
      <c r="K406" s="914">
        <f t="shared" si="36"/>
        <v>486.71173908660461</v>
      </c>
      <c r="L406" s="914">
        <f>+SUM(D407:D$501)</f>
        <v>112.14075089187668</v>
      </c>
      <c r="M406" s="914">
        <f>+SUM(E407:E$501)</f>
        <v>4063.615164887216</v>
      </c>
      <c r="N406" s="914">
        <f>+SUM(F407:F$501)</f>
        <v>14.676988938246001</v>
      </c>
      <c r="O406" s="914">
        <f>+SUM(G407:G$501)</f>
        <v>4677.1446438039402</v>
      </c>
      <c r="P406" s="11">
        <f t="shared" si="37"/>
        <v>31.583678544792004</v>
      </c>
      <c r="Q406" s="913">
        <f t="shared" si="38"/>
        <v>0</v>
      </c>
      <c r="R406" s="11">
        <f t="shared" si="39"/>
        <v>0.31749815139100002</v>
      </c>
      <c r="S406" s="913">
        <f t="shared" si="40"/>
        <v>51</v>
      </c>
    </row>
    <row r="407" spans="1:19" x14ac:dyDescent="0.2">
      <c r="A407" s="11">
        <f t="shared" si="41"/>
        <v>405</v>
      </c>
      <c r="B407" s="11">
        <v>2.4335284883400004</v>
      </c>
      <c r="C407" s="11">
        <v>2.0870563572558001</v>
      </c>
      <c r="D407" s="11">
        <v>1.0322577486039999</v>
      </c>
      <c r="E407" s="11">
        <v>32.407585011904438</v>
      </c>
      <c r="F407" s="11"/>
      <c r="G407" s="11">
        <v>37.96042760610424</v>
      </c>
      <c r="H407" s="11"/>
      <c r="I407" s="914">
        <f>+SUM(B408:B$501)</f>
        <v>249.24930894888394</v>
      </c>
      <c r="J407" s="914">
        <f>+SUM(C408:C$501)</f>
        <v>232.94184529212484</v>
      </c>
      <c r="K407" s="914">
        <f t="shared" si="36"/>
        <v>482.1911542410088</v>
      </c>
      <c r="L407" s="914">
        <f>+SUM(D408:D$501)</f>
        <v>111.10849314327268</v>
      </c>
      <c r="M407" s="914">
        <f>+SUM(E408:E$501)</f>
        <v>4031.2075798753117</v>
      </c>
      <c r="N407" s="914">
        <f>+SUM(F408:F$501)</f>
        <v>14.676988938246001</v>
      </c>
      <c r="O407" s="914">
        <f>+SUM(G408:G$501)</f>
        <v>4639.1842161978366</v>
      </c>
      <c r="P407" s="11">
        <f t="shared" si="37"/>
        <v>32.407585011904438</v>
      </c>
      <c r="Q407" s="913">
        <f t="shared" si="38"/>
        <v>0</v>
      </c>
      <c r="R407" s="11">
        <f t="shared" si="39"/>
        <v>0.31749815139100002</v>
      </c>
      <c r="S407" s="913">
        <f t="shared" si="40"/>
        <v>50</v>
      </c>
    </row>
    <row r="408" spans="1:19" x14ac:dyDescent="0.2">
      <c r="A408" s="11">
        <f t="shared" si="41"/>
        <v>406</v>
      </c>
      <c r="B408" s="11">
        <v>1.872658582451</v>
      </c>
      <c r="C408" s="11">
        <v>2.6266822942010002</v>
      </c>
      <c r="D408" s="11"/>
      <c r="E408" s="11">
        <v>35.911081665120001</v>
      </c>
      <c r="F408" s="11"/>
      <c r="G408" s="11">
        <v>40.410422541772</v>
      </c>
      <c r="H408" s="11"/>
      <c r="I408" s="914">
        <f>+SUM(B409:B$501)</f>
        <v>247.37665036643295</v>
      </c>
      <c r="J408" s="914">
        <f>+SUM(C409:C$501)</f>
        <v>230.31516299792384</v>
      </c>
      <c r="K408" s="914">
        <f t="shared" si="36"/>
        <v>477.69181336435679</v>
      </c>
      <c r="L408" s="914">
        <f>+SUM(D409:D$501)</f>
        <v>111.10849314327268</v>
      </c>
      <c r="M408" s="914">
        <f>+SUM(E409:E$501)</f>
        <v>3995.2964982101917</v>
      </c>
      <c r="N408" s="914">
        <f>+SUM(F409:F$501)</f>
        <v>14.676988938246001</v>
      </c>
      <c r="O408" s="914">
        <f>+SUM(G409:G$501)</f>
        <v>4598.7737936560643</v>
      </c>
      <c r="P408" s="11">
        <f t="shared" si="37"/>
        <v>35.911081665120001</v>
      </c>
      <c r="Q408" s="913">
        <f t="shared" si="38"/>
        <v>0</v>
      </c>
      <c r="R408" s="11">
        <f t="shared" si="39"/>
        <v>0.31749815139100002</v>
      </c>
      <c r="S408" s="913">
        <f t="shared" si="40"/>
        <v>49</v>
      </c>
    </row>
    <row r="409" spans="1:19" x14ac:dyDescent="0.2">
      <c r="A409" s="11">
        <f t="shared" si="41"/>
        <v>407</v>
      </c>
      <c r="B409" s="11">
        <v>0.94314717422130001</v>
      </c>
      <c r="C409" s="11">
        <v>1.2202527116266801</v>
      </c>
      <c r="D409" s="11"/>
      <c r="E409" s="11">
        <v>39.017706666620001</v>
      </c>
      <c r="F409" s="11"/>
      <c r="G409" s="11">
        <v>41.18110655246798</v>
      </c>
      <c r="H409" s="11"/>
      <c r="I409" s="914">
        <f>+SUM(B410:B$501)</f>
        <v>246.43350319221167</v>
      </c>
      <c r="J409" s="914">
        <f>+SUM(C410:C$501)</f>
        <v>229.09491028629716</v>
      </c>
      <c r="K409" s="914">
        <f t="shared" si="36"/>
        <v>475.52841347850881</v>
      </c>
      <c r="L409" s="914">
        <f>+SUM(D410:D$501)</f>
        <v>111.10849314327268</v>
      </c>
      <c r="M409" s="914">
        <f>+SUM(E410:E$501)</f>
        <v>3956.2787915435715</v>
      </c>
      <c r="N409" s="914">
        <f>+SUM(F410:F$501)</f>
        <v>14.676988938246001</v>
      </c>
      <c r="O409" s="914">
        <f>+SUM(G410:G$501)</f>
        <v>4557.5926871035963</v>
      </c>
      <c r="P409" s="11">
        <f t="shared" si="37"/>
        <v>39.017706666620001</v>
      </c>
      <c r="Q409" s="913">
        <f t="shared" si="38"/>
        <v>0</v>
      </c>
      <c r="R409" s="11">
        <f t="shared" si="39"/>
        <v>0.31749815139100002</v>
      </c>
      <c r="S409" s="913">
        <f t="shared" si="40"/>
        <v>48</v>
      </c>
    </row>
    <row r="410" spans="1:19" x14ac:dyDescent="0.2">
      <c r="A410" s="11">
        <f t="shared" si="41"/>
        <v>408</v>
      </c>
      <c r="B410" s="11">
        <v>1.2967687932</v>
      </c>
      <c r="C410" s="11">
        <v>0.69193818960640008</v>
      </c>
      <c r="D410" s="11"/>
      <c r="E410" s="11">
        <v>44.288855005779993</v>
      </c>
      <c r="F410" s="11"/>
      <c r="G410" s="11">
        <v>46.277561988586392</v>
      </c>
      <c r="H410" s="11"/>
      <c r="I410" s="914">
        <f>+SUM(B411:B$501)</f>
        <v>245.13673439901163</v>
      </c>
      <c r="J410" s="914">
        <f>+SUM(C411:C$501)</f>
        <v>228.40297209669075</v>
      </c>
      <c r="K410" s="914">
        <f t="shared" si="36"/>
        <v>473.53970649570238</v>
      </c>
      <c r="L410" s="914">
        <f>+SUM(D411:D$501)</f>
        <v>111.10849314327268</v>
      </c>
      <c r="M410" s="914">
        <f>+SUM(E411:E$501)</f>
        <v>3911.9899365377919</v>
      </c>
      <c r="N410" s="914">
        <f>+SUM(F411:F$501)</f>
        <v>14.676988938246001</v>
      </c>
      <c r="O410" s="914">
        <f>+SUM(G411:G$501)</f>
        <v>4511.3151251150102</v>
      </c>
      <c r="P410" s="11">
        <f t="shared" si="37"/>
        <v>44.288855005779993</v>
      </c>
      <c r="Q410" s="913">
        <f t="shared" si="38"/>
        <v>0</v>
      </c>
      <c r="R410" s="11">
        <f t="shared" si="39"/>
        <v>0.31749815139100002</v>
      </c>
      <c r="S410" s="913">
        <f t="shared" si="40"/>
        <v>47</v>
      </c>
    </row>
    <row r="411" spans="1:19" x14ac:dyDescent="0.2">
      <c r="A411" s="11">
        <f t="shared" si="41"/>
        <v>409</v>
      </c>
      <c r="B411" s="11">
        <v>1.5096643842799999</v>
      </c>
      <c r="C411" s="11">
        <v>0.85022244307899997</v>
      </c>
      <c r="D411" s="11"/>
      <c r="E411" s="11">
        <v>47.345153112910005</v>
      </c>
      <c r="F411" s="11"/>
      <c r="G411" s="11">
        <v>49.705039940269003</v>
      </c>
      <c r="H411" s="11"/>
      <c r="I411" s="914">
        <f>+SUM(B412:B$501)</f>
        <v>243.62707001473166</v>
      </c>
      <c r="J411" s="914">
        <f>+SUM(C412:C$501)</f>
        <v>227.55274965361176</v>
      </c>
      <c r="K411" s="914">
        <f t="shared" si="36"/>
        <v>471.17981966834338</v>
      </c>
      <c r="L411" s="914">
        <f>+SUM(D412:D$501)</f>
        <v>111.10849314327268</v>
      </c>
      <c r="M411" s="914">
        <f>+SUM(E412:E$501)</f>
        <v>3864.6447834248816</v>
      </c>
      <c r="N411" s="914">
        <f>+SUM(F412:F$501)</f>
        <v>14.676988938246001</v>
      </c>
      <c r="O411" s="914">
        <f>+SUM(G412:G$501)</f>
        <v>4461.6100851747406</v>
      </c>
      <c r="P411" s="11">
        <f t="shared" si="37"/>
        <v>47.345153112910005</v>
      </c>
      <c r="Q411" s="913">
        <f t="shared" si="38"/>
        <v>0</v>
      </c>
      <c r="R411" s="11">
        <f t="shared" si="39"/>
        <v>0.31749815139100002</v>
      </c>
      <c r="S411" s="913">
        <f t="shared" si="40"/>
        <v>46</v>
      </c>
    </row>
    <row r="412" spans="1:19" x14ac:dyDescent="0.2">
      <c r="A412" s="11">
        <f t="shared" si="41"/>
        <v>410</v>
      </c>
      <c r="B412" s="11">
        <v>1.8215260850570001</v>
      </c>
      <c r="C412" s="11">
        <v>0.68036104943903009</v>
      </c>
      <c r="D412" s="11"/>
      <c r="E412" s="11">
        <v>49.571243856999999</v>
      </c>
      <c r="F412" s="11"/>
      <c r="G412" s="11">
        <v>52.073130991496029</v>
      </c>
      <c r="H412" s="11"/>
      <c r="I412" s="914">
        <f>+SUM(B413:B$501)</f>
        <v>241.80554392967463</v>
      </c>
      <c r="J412" s="914">
        <f>+SUM(C413:C$501)</f>
        <v>226.87238860417276</v>
      </c>
      <c r="K412" s="914">
        <f t="shared" si="36"/>
        <v>468.67793253384741</v>
      </c>
      <c r="L412" s="914">
        <f>+SUM(D413:D$501)</f>
        <v>111.10849314327268</v>
      </c>
      <c r="M412" s="914">
        <f>+SUM(E413:E$501)</f>
        <v>3815.0735395678826</v>
      </c>
      <c r="N412" s="914">
        <f>+SUM(F413:F$501)</f>
        <v>14.676988938246001</v>
      </c>
      <c r="O412" s="914">
        <f>+SUM(G413:G$501)</f>
        <v>4409.5369541832461</v>
      </c>
      <c r="P412" s="11">
        <f t="shared" si="37"/>
        <v>49.571243856999999</v>
      </c>
      <c r="Q412" s="913">
        <f t="shared" si="38"/>
        <v>0</v>
      </c>
      <c r="R412" s="11">
        <f t="shared" si="39"/>
        <v>0.31749815139100002</v>
      </c>
      <c r="S412" s="913">
        <f t="shared" si="40"/>
        <v>45</v>
      </c>
    </row>
    <row r="413" spans="1:19" x14ac:dyDescent="0.2">
      <c r="A413" s="11">
        <f t="shared" si="41"/>
        <v>411</v>
      </c>
      <c r="B413" s="11">
        <v>2.43529371139826</v>
      </c>
      <c r="C413" s="11">
        <v>0.86703283949474008</v>
      </c>
      <c r="D413" s="11"/>
      <c r="E413" s="11">
        <v>52.736526107849414</v>
      </c>
      <c r="F413" s="11"/>
      <c r="G413" s="11">
        <v>56.038852658742414</v>
      </c>
      <c r="H413" s="11"/>
      <c r="I413" s="914">
        <f>+SUM(B414:B$501)</f>
        <v>239.3702502182764</v>
      </c>
      <c r="J413" s="914">
        <f>+SUM(C414:C$501)</f>
        <v>226.005355764678</v>
      </c>
      <c r="K413" s="914">
        <f t="shared" si="36"/>
        <v>465.37560598295443</v>
      </c>
      <c r="L413" s="914">
        <f>+SUM(D414:D$501)</f>
        <v>111.10849314327268</v>
      </c>
      <c r="M413" s="914">
        <f>+SUM(E414:E$501)</f>
        <v>3762.3370134600323</v>
      </c>
      <c r="N413" s="914">
        <f>+SUM(F414:F$501)</f>
        <v>14.676988938246001</v>
      </c>
      <c r="O413" s="914">
        <f>+SUM(G414:G$501)</f>
        <v>4353.4981015245021</v>
      </c>
      <c r="P413" s="11">
        <f t="shared" si="37"/>
        <v>52.736526107849414</v>
      </c>
      <c r="Q413" s="913">
        <f t="shared" si="38"/>
        <v>0</v>
      </c>
      <c r="R413" s="11">
        <f t="shared" si="39"/>
        <v>0.31749815139100002</v>
      </c>
      <c r="S413" s="913">
        <f t="shared" si="40"/>
        <v>44</v>
      </c>
    </row>
    <row r="414" spans="1:19" x14ac:dyDescent="0.2">
      <c r="A414" s="11">
        <f t="shared" si="41"/>
        <v>412</v>
      </c>
      <c r="B414" s="11">
        <v>2.9613188907435601</v>
      </c>
      <c r="C414" s="11">
        <v>1.5591180253336399</v>
      </c>
      <c r="D414" s="11"/>
      <c r="E414" s="11">
        <v>64.63735157262353</v>
      </c>
      <c r="F414" s="11"/>
      <c r="G414" s="11">
        <v>69.157788488700731</v>
      </c>
      <c r="H414" s="11"/>
      <c r="I414" s="914">
        <f>+SUM(B415:B$501)</f>
        <v>236.4089313275328</v>
      </c>
      <c r="J414" s="914">
        <f>+SUM(C415:C$501)</f>
        <v>224.44623773934435</v>
      </c>
      <c r="K414" s="914">
        <f t="shared" si="36"/>
        <v>460.85516906687712</v>
      </c>
      <c r="L414" s="914">
        <f>+SUM(D415:D$501)</f>
        <v>111.10849314327268</v>
      </c>
      <c r="M414" s="914">
        <f>+SUM(E415:E$501)</f>
        <v>3697.6996618874095</v>
      </c>
      <c r="N414" s="914">
        <f>+SUM(F415:F$501)</f>
        <v>14.676988938246001</v>
      </c>
      <c r="O414" s="914">
        <f>+SUM(G415:G$501)</f>
        <v>4284.340313035802</v>
      </c>
      <c r="P414" s="11">
        <f t="shared" si="37"/>
        <v>64.63735157262353</v>
      </c>
      <c r="Q414" s="913">
        <f t="shared" si="38"/>
        <v>0</v>
      </c>
      <c r="R414" s="11">
        <f t="shared" si="39"/>
        <v>0.31749815139100002</v>
      </c>
      <c r="S414" s="913">
        <f t="shared" si="40"/>
        <v>43</v>
      </c>
    </row>
    <row r="415" spans="1:19" x14ac:dyDescent="0.2">
      <c r="A415" s="11">
        <f t="shared" si="41"/>
        <v>413</v>
      </c>
      <c r="B415" s="11">
        <v>2.4048857001540003</v>
      </c>
      <c r="C415" s="11">
        <v>2.1789089650790001</v>
      </c>
      <c r="D415" s="11"/>
      <c r="E415" s="11">
        <v>79.289184689199999</v>
      </c>
      <c r="F415" s="11"/>
      <c r="G415" s="11">
        <v>83.872979354432999</v>
      </c>
      <c r="H415" s="11"/>
      <c r="I415" s="914">
        <f>+SUM(B416:B$501)</f>
        <v>234.00404562737884</v>
      </c>
      <c r="J415" s="914">
        <f>+SUM(C416:C$501)</f>
        <v>222.26732877426534</v>
      </c>
      <c r="K415" s="914">
        <f t="shared" si="36"/>
        <v>456.27137440164415</v>
      </c>
      <c r="L415" s="914">
        <f>+SUM(D416:D$501)</f>
        <v>111.10849314327268</v>
      </c>
      <c r="M415" s="914">
        <f>+SUM(E416:E$501)</f>
        <v>3618.4104771982088</v>
      </c>
      <c r="N415" s="914">
        <f>+SUM(F416:F$501)</f>
        <v>14.676988938246001</v>
      </c>
      <c r="O415" s="914">
        <f>+SUM(G416:G$501)</f>
        <v>4200.4673336813703</v>
      </c>
      <c r="P415" s="11">
        <f t="shared" si="37"/>
        <v>79.289184689199999</v>
      </c>
      <c r="Q415" s="913">
        <f t="shared" si="38"/>
        <v>0</v>
      </c>
      <c r="R415" s="11">
        <f t="shared" si="39"/>
        <v>0.31749815139100002</v>
      </c>
      <c r="S415" s="913">
        <f t="shared" si="40"/>
        <v>42</v>
      </c>
    </row>
    <row r="416" spans="1:19" x14ac:dyDescent="0.2">
      <c r="A416" s="11">
        <f t="shared" si="41"/>
        <v>414</v>
      </c>
      <c r="B416" s="11">
        <v>3.5420014935700759</v>
      </c>
      <c r="C416" s="11">
        <v>2.1966443891190002</v>
      </c>
      <c r="D416" s="11"/>
      <c r="E416" s="11">
        <v>78.774594006172009</v>
      </c>
      <c r="F416" s="11"/>
      <c r="G416" s="11">
        <v>84.513239888861079</v>
      </c>
      <c r="H416" s="11"/>
      <c r="I416" s="914">
        <f>+SUM(B417:B$501)</f>
        <v>230.46204413380877</v>
      </c>
      <c r="J416" s="914">
        <f>+SUM(C417:C$501)</f>
        <v>220.07068438514631</v>
      </c>
      <c r="K416" s="914">
        <f t="shared" si="36"/>
        <v>450.53272851895508</v>
      </c>
      <c r="L416" s="914">
        <f>+SUM(D417:D$501)</f>
        <v>111.10849314327268</v>
      </c>
      <c r="M416" s="914">
        <f>+SUM(E417:E$501)</f>
        <v>3539.6358831920375</v>
      </c>
      <c r="N416" s="914">
        <f>+SUM(F417:F$501)</f>
        <v>14.676988938246001</v>
      </c>
      <c r="O416" s="914">
        <f>+SUM(G417:G$501)</f>
        <v>4115.9540937925085</v>
      </c>
      <c r="P416" s="11">
        <f t="shared" si="37"/>
        <v>78.774594006172009</v>
      </c>
      <c r="Q416" s="913">
        <f t="shared" si="38"/>
        <v>0</v>
      </c>
      <c r="R416" s="11">
        <f t="shared" si="39"/>
        <v>0.31749815139100002</v>
      </c>
      <c r="S416" s="913">
        <f t="shared" si="40"/>
        <v>41</v>
      </c>
    </row>
    <row r="417" spans="1:19" x14ac:dyDescent="0.2">
      <c r="A417" s="11">
        <f t="shared" si="41"/>
        <v>415</v>
      </c>
      <c r="B417" s="11">
        <v>5.0967564943913999</v>
      </c>
      <c r="C417" s="11">
        <v>1.976472952375</v>
      </c>
      <c r="D417" s="11"/>
      <c r="E417" s="11">
        <v>75.781725923891003</v>
      </c>
      <c r="F417" s="11"/>
      <c r="G417" s="11">
        <v>82.854955370657407</v>
      </c>
      <c r="H417" s="11"/>
      <c r="I417" s="914">
        <f>+SUM(B418:B$501)</f>
        <v>225.36528763941737</v>
      </c>
      <c r="J417" s="914">
        <f>+SUM(C418:C$501)</f>
        <v>218.09421143277132</v>
      </c>
      <c r="K417" s="914">
        <f t="shared" si="36"/>
        <v>443.45949907218869</v>
      </c>
      <c r="L417" s="914">
        <f>+SUM(D418:D$501)</f>
        <v>111.10849314327268</v>
      </c>
      <c r="M417" s="914">
        <f>+SUM(E418:E$501)</f>
        <v>3463.8541572681465</v>
      </c>
      <c r="N417" s="914">
        <f>+SUM(F418:F$501)</f>
        <v>14.676988938246001</v>
      </c>
      <c r="O417" s="914">
        <f>+SUM(G418:G$501)</f>
        <v>4033.099138421851</v>
      </c>
      <c r="P417" s="11">
        <f t="shared" si="37"/>
        <v>75.781725923891003</v>
      </c>
      <c r="Q417" s="913">
        <f t="shared" si="38"/>
        <v>0</v>
      </c>
      <c r="R417" s="11">
        <f t="shared" si="39"/>
        <v>0.31749815139100002</v>
      </c>
      <c r="S417" s="913">
        <f t="shared" si="40"/>
        <v>40</v>
      </c>
    </row>
    <row r="418" spans="1:19" x14ac:dyDescent="0.2">
      <c r="A418" s="11">
        <f t="shared" si="41"/>
        <v>416</v>
      </c>
      <c r="B418" s="11">
        <v>5.0358907515369999</v>
      </c>
      <c r="C418" s="11">
        <v>1.9718687029400002</v>
      </c>
      <c r="D418" s="11"/>
      <c r="E418" s="11">
        <v>74.438386445809201</v>
      </c>
      <c r="F418" s="11"/>
      <c r="G418" s="11">
        <v>81.446145900286197</v>
      </c>
      <c r="H418" s="11"/>
      <c r="I418" s="914">
        <f>+SUM(B419:B$501)</f>
        <v>220.32939688788036</v>
      </c>
      <c r="J418" s="914">
        <f>+SUM(C419:C$501)</f>
        <v>216.1223427298313</v>
      </c>
      <c r="K418" s="914">
        <f t="shared" si="36"/>
        <v>436.45173961771167</v>
      </c>
      <c r="L418" s="914">
        <f>+SUM(D419:D$501)</f>
        <v>111.10849314327268</v>
      </c>
      <c r="M418" s="914">
        <f>+SUM(E419:E$501)</f>
        <v>3389.4157708223361</v>
      </c>
      <c r="N418" s="914">
        <f>+SUM(F419:F$501)</f>
        <v>14.676988938246001</v>
      </c>
      <c r="O418" s="914">
        <f>+SUM(G419:G$501)</f>
        <v>3951.652992521565</v>
      </c>
      <c r="P418" s="11">
        <f t="shared" si="37"/>
        <v>74.438386445809201</v>
      </c>
      <c r="Q418" s="913">
        <f t="shared" si="38"/>
        <v>0</v>
      </c>
      <c r="R418" s="11">
        <f t="shared" si="39"/>
        <v>0.31749815139100002</v>
      </c>
      <c r="S418" s="913">
        <f t="shared" si="40"/>
        <v>39</v>
      </c>
    </row>
    <row r="419" spans="1:19" x14ac:dyDescent="0.2">
      <c r="A419" s="11">
        <f t="shared" si="41"/>
        <v>417</v>
      </c>
      <c r="B419" s="11">
        <v>3.0009619810340999</v>
      </c>
      <c r="C419" s="11">
        <v>2.253491101901</v>
      </c>
      <c r="D419" s="11"/>
      <c r="E419" s="11">
        <v>75.024100028410004</v>
      </c>
      <c r="F419" s="11"/>
      <c r="G419" s="11">
        <v>80.278553111345104</v>
      </c>
      <c r="H419" s="11"/>
      <c r="I419" s="914">
        <f>+SUM(B420:B$501)</f>
        <v>217.32843490684627</v>
      </c>
      <c r="J419" s="914">
        <f>+SUM(C420:C$501)</f>
        <v>213.86885162793035</v>
      </c>
      <c r="K419" s="914">
        <f t="shared" si="36"/>
        <v>431.19728653477659</v>
      </c>
      <c r="L419" s="914">
        <f>+SUM(D420:D$501)</f>
        <v>111.10849314327268</v>
      </c>
      <c r="M419" s="914">
        <f>+SUM(E420:E$501)</f>
        <v>3314.3916707939266</v>
      </c>
      <c r="N419" s="914">
        <f>+SUM(F420:F$501)</f>
        <v>14.676988938246001</v>
      </c>
      <c r="O419" s="914">
        <f>+SUM(G420:G$501)</f>
        <v>3871.37443941022</v>
      </c>
      <c r="P419" s="11">
        <f t="shared" si="37"/>
        <v>75.024100028410004</v>
      </c>
      <c r="Q419" s="913">
        <f t="shared" si="38"/>
        <v>0</v>
      </c>
      <c r="R419" s="11">
        <f t="shared" si="39"/>
        <v>0.31749815139100002</v>
      </c>
      <c r="S419" s="913">
        <f t="shared" si="40"/>
        <v>38</v>
      </c>
    </row>
    <row r="420" spans="1:19" x14ac:dyDescent="0.2">
      <c r="A420" s="11">
        <f t="shared" si="41"/>
        <v>418</v>
      </c>
      <c r="B420" s="11">
        <v>2.47011277895208</v>
      </c>
      <c r="C420" s="11">
        <v>2.2613988089382699</v>
      </c>
      <c r="D420" s="11"/>
      <c r="E420" s="11">
        <v>74.45473112667699</v>
      </c>
      <c r="F420" s="11"/>
      <c r="G420" s="11">
        <v>79.186242714567342</v>
      </c>
      <c r="H420" s="11"/>
      <c r="I420" s="914">
        <f>+SUM(B421:B$501)</f>
        <v>214.85832212789421</v>
      </c>
      <c r="J420" s="914">
        <f>+SUM(C421:C$501)</f>
        <v>211.60745281899207</v>
      </c>
      <c r="K420" s="914">
        <f t="shared" si="36"/>
        <v>426.46577494688631</v>
      </c>
      <c r="L420" s="914">
        <f>+SUM(D421:D$501)</f>
        <v>111.10849314327268</v>
      </c>
      <c r="M420" s="914">
        <f>+SUM(E421:E$501)</f>
        <v>3239.9369396672496</v>
      </c>
      <c r="N420" s="914">
        <f>+SUM(F421:F$501)</f>
        <v>14.676988938246001</v>
      </c>
      <c r="O420" s="914">
        <f>+SUM(G421:G$501)</f>
        <v>3792.188196695653</v>
      </c>
      <c r="P420" s="11">
        <f t="shared" si="37"/>
        <v>74.45473112667699</v>
      </c>
      <c r="Q420" s="913">
        <f t="shared" si="38"/>
        <v>0</v>
      </c>
      <c r="R420" s="11">
        <f t="shared" si="39"/>
        <v>0.31749815139100002</v>
      </c>
      <c r="S420" s="913">
        <f t="shared" si="40"/>
        <v>37</v>
      </c>
    </row>
    <row r="421" spans="1:19" x14ac:dyDescent="0.2">
      <c r="A421" s="11">
        <f t="shared" si="41"/>
        <v>419</v>
      </c>
      <c r="B421" s="11">
        <v>2.0941796974977001</v>
      </c>
      <c r="C421" s="11">
        <v>2.3352406185629997</v>
      </c>
      <c r="D421" s="11"/>
      <c r="E421" s="11">
        <v>73.752630554320007</v>
      </c>
      <c r="F421" s="11"/>
      <c r="G421" s="11">
        <v>78.182050870380706</v>
      </c>
      <c r="H421" s="11"/>
      <c r="I421" s="914">
        <f>+SUM(B422:B$501)</f>
        <v>212.76414243039648</v>
      </c>
      <c r="J421" s="914">
        <f>+SUM(C422:C$501)</f>
        <v>209.27221220042907</v>
      </c>
      <c r="K421" s="914">
        <f t="shared" si="36"/>
        <v>422.03635463082554</v>
      </c>
      <c r="L421" s="914">
        <f>+SUM(D422:D$501)</f>
        <v>111.10849314327268</v>
      </c>
      <c r="M421" s="914">
        <f>+SUM(E422:E$501)</f>
        <v>3166.1843091129304</v>
      </c>
      <c r="N421" s="914">
        <f>+SUM(F422:F$501)</f>
        <v>14.676988938246001</v>
      </c>
      <c r="O421" s="914">
        <f>+SUM(G422:G$501)</f>
        <v>3714.0061458252726</v>
      </c>
      <c r="P421" s="11">
        <f t="shared" si="37"/>
        <v>73.752630554320007</v>
      </c>
      <c r="Q421" s="913">
        <f t="shared" si="38"/>
        <v>0</v>
      </c>
      <c r="R421" s="11">
        <f t="shared" si="39"/>
        <v>0.31749815139100002</v>
      </c>
      <c r="S421" s="913">
        <f t="shared" si="40"/>
        <v>36</v>
      </c>
    </row>
    <row r="422" spans="1:19" x14ac:dyDescent="0.2">
      <c r="A422" s="11">
        <f t="shared" si="41"/>
        <v>420</v>
      </c>
      <c r="B422" s="11">
        <v>1.547274148224</v>
      </c>
      <c r="C422" s="11">
        <v>1.9880795568130001</v>
      </c>
      <c r="D422" s="11"/>
      <c r="E422" s="11">
        <v>73.673063700943999</v>
      </c>
      <c r="F422" s="11"/>
      <c r="G422" s="11">
        <v>77.208417405980995</v>
      </c>
      <c r="H422" s="11"/>
      <c r="I422" s="914">
        <f>+SUM(B423:B$501)</f>
        <v>211.21686828217247</v>
      </c>
      <c r="J422" s="914">
        <f>+SUM(C423:C$501)</f>
        <v>207.28413264361609</v>
      </c>
      <c r="K422" s="914">
        <f t="shared" si="36"/>
        <v>418.50100092578856</v>
      </c>
      <c r="L422" s="914">
        <f>+SUM(D423:D$501)</f>
        <v>111.10849314327268</v>
      </c>
      <c r="M422" s="914">
        <f>+SUM(E423:E$501)</f>
        <v>3092.5112454119862</v>
      </c>
      <c r="N422" s="914">
        <f>+SUM(F423:F$501)</f>
        <v>14.676988938246001</v>
      </c>
      <c r="O422" s="914">
        <f>+SUM(G423:G$501)</f>
        <v>3636.7977284192916</v>
      </c>
      <c r="P422" s="11">
        <f t="shared" si="37"/>
        <v>73.673063700943999</v>
      </c>
      <c r="Q422" s="913">
        <f t="shared" si="38"/>
        <v>0</v>
      </c>
      <c r="R422" s="11">
        <f t="shared" si="39"/>
        <v>0.31749815139100002</v>
      </c>
      <c r="S422" s="913">
        <f t="shared" si="40"/>
        <v>35</v>
      </c>
    </row>
    <row r="423" spans="1:19" x14ac:dyDescent="0.2">
      <c r="A423" s="11">
        <f t="shared" si="41"/>
        <v>421</v>
      </c>
      <c r="B423" s="11">
        <v>1.0728272079500001</v>
      </c>
      <c r="C423" s="11">
        <v>2.011346475596</v>
      </c>
      <c r="D423" s="11"/>
      <c r="E423" s="11">
        <v>73.20128659889275</v>
      </c>
      <c r="F423" s="11"/>
      <c r="G423" s="11">
        <v>76.285460282438748</v>
      </c>
      <c r="H423" s="11"/>
      <c r="I423" s="914">
        <f>+SUM(B424:B$501)</f>
        <v>210.14404107422246</v>
      </c>
      <c r="J423" s="914">
        <f>+SUM(C424:C$501)</f>
        <v>205.27278616802008</v>
      </c>
      <c r="K423" s="914">
        <f t="shared" si="36"/>
        <v>415.41682724224256</v>
      </c>
      <c r="L423" s="914">
        <f>+SUM(D424:D$501)</f>
        <v>111.10849314327268</v>
      </c>
      <c r="M423" s="914">
        <f>+SUM(E424:E$501)</f>
        <v>3019.3099588130931</v>
      </c>
      <c r="N423" s="914">
        <f>+SUM(F424:F$501)</f>
        <v>14.676988938246001</v>
      </c>
      <c r="O423" s="914">
        <f>+SUM(G424:G$501)</f>
        <v>3560.5122681368534</v>
      </c>
      <c r="P423" s="11">
        <f t="shared" si="37"/>
        <v>73.20128659889275</v>
      </c>
      <c r="Q423" s="913">
        <f t="shared" si="38"/>
        <v>0</v>
      </c>
      <c r="R423" s="11">
        <f t="shared" si="39"/>
        <v>0.31749815139100002</v>
      </c>
      <c r="S423" s="913">
        <f t="shared" si="40"/>
        <v>34</v>
      </c>
    </row>
    <row r="424" spans="1:19" x14ac:dyDescent="0.2">
      <c r="A424" s="11">
        <f t="shared" si="41"/>
        <v>422</v>
      </c>
      <c r="B424" s="11">
        <v>0.92551729830679996</v>
      </c>
      <c r="C424" s="11">
        <v>1.748331174289</v>
      </c>
      <c r="D424" s="11"/>
      <c r="E424" s="11">
        <v>72.798322780429771</v>
      </c>
      <c r="F424" s="11"/>
      <c r="G424" s="11">
        <v>75.472171253025564</v>
      </c>
      <c r="H424" s="11"/>
      <c r="I424" s="914">
        <f>+SUM(B425:B$501)</f>
        <v>209.21852377591568</v>
      </c>
      <c r="J424" s="914">
        <f>+SUM(C425:C$501)</f>
        <v>203.52445499373107</v>
      </c>
      <c r="K424" s="914">
        <f t="shared" si="36"/>
        <v>412.74297876964675</v>
      </c>
      <c r="L424" s="914">
        <f>+SUM(D425:D$501)</f>
        <v>111.10849314327268</v>
      </c>
      <c r="M424" s="914">
        <f>+SUM(E425:E$501)</f>
        <v>2946.5116360326638</v>
      </c>
      <c r="N424" s="914">
        <f>+SUM(F425:F$501)</f>
        <v>14.676988938246001</v>
      </c>
      <c r="O424" s="914">
        <f>+SUM(G425:G$501)</f>
        <v>3485.0400968838271</v>
      </c>
      <c r="P424" s="11">
        <f t="shared" si="37"/>
        <v>72.798322780429771</v>
      </c>
      <c r="Q424" s="913">
        <f t="shared" si="38"/>
        <v>0</v>
      </c>
      <c r="R424" s="11">
        <f t="shared" si="39"/>
        <v>0.31749815139100002</v>
      </c>
      <c r="S424" s="913">
        <f t="shared" si="40"/>
        <v>33</v>
      </c>
    </row>
    <row r="425" spans="1:19" x14ac:dyDescent="0.2">
      <c r="A425" s="11">
        <f t="shared" si="41"/>
        <v>423</v>
      </c>
      <c r="B425" s="11">
        <v>0.411695053501</v>
      </c>
      <c r="C425" s="11">
        <v>0.65729078387700002</v>
      </c>
      <c r="D425" s="11"/>
      <c r="E425" s="11">
        <v>73.647536835311499</v>
      </c>
      <c r="F425" s="11"/>
      <c r="G425" s="11">
        <v>74.716522672689493</v>
      </c>
      <c r="H425" s="11"/>
      <c r="I425" s="914">
        <f>+SUM(B426:B$501)</f>
        <v>208.80682872241465</v>
      </c>
      <c r="J425" s="914">
        <f>+SUM(C426:C$501)</f>
        <v>202.86716420985408</v>
      </c>
      <c r="K425" s="914">
        <f t="shared" si="36"/>
        <v>411.67399293226873</v>
      </c>
      <c r="L425" s="914">
        <f>+SUM(D426:D$501)</f>
        <v>111.10849314327268</v>
      </c>
      <c r="M425" s="914">
        <f>+SUM(E426:E$501)</f>
        <v>2872.8640991973512</v>
      </c>
      <c r="N425" s="914">
        <f>+SUM(F426:F$501)</f>
        <v>14.676988938246001</v>
      </c>
      <c r="O425" s="914">
        <f>+SUM(G426:G$501)</f>
        <v>3410.3235742111378</v>
      </c>
      <c r="P425" s="11">
        <f t="shared" si="37"/>
        <v>73.647536835311499</v>
      </c>
      <c r="Q425" s="913">
        <f t="shared" si="38"/>
        <v>0</v>
      </c>
      <c r="R425" s="11">
        <f t="shared" si="39"/>
        <v>0.31749815139100002</v>
      </c>
      <c r="S425" s="913">
        <f t="shared" si="40"/>
        <v>32</v>
      </c>
    </row>
    <row r="426" spans="1:19" x14ac:dyDescent="0.2">
      <c r="A426" s="11">
        <f t="shared" si="41"/>
        <v>424</v>
      </c>
      <c r="B426" s="11">
        <v>0.26125460338549999</v>
      </c>
      <c r="C426" s="11">
        <v>0.65804855290069997</v>
      </c>
      <c r="D426" s="11"/>
      <c r="E426" s="11">
        <v>73.315226228257998</v>
      </c>
      <c r="F426" s="11"/>
      <c r="G426" s="11">
        <v>74.234529384544203</v>
      </c>
      <c r="H426" s="11"/>
      <c r="I426" s="914">
        <f>+SUM(B427:B$501)</f>
        <v>208.54557411902914</v>
      </c>
      <c r="J426" s="914">
        <f>+SUM(C427:C$501)</f>
        <v>202.20911565695337</v>
      </c>
      <c r="K426" s="914">
        <f t="shared" si="36"/>
        <v>410.75468977598251</v>
      </c>
      <c r="L426" s="914">
        <f>+SUM(D427:D$501)</f>
        <v>111.10849314327268</v>
      </c>
      <c r="M426" s="914">
        <f>+SUM(E427:E$501)</f>
        <v>2799.5488729690928</v>
      </c>
      <c r="N426" s="914">
        <f>+SUM(F427:F$501)</f>
        <v>14.676988938246001</v>
      </c>
      <c r="O426" s="914">
        <f>+SUM(G427:G$501)</f>
        <v>3336.0890448265932</v>
      </c>
      <c r="P426" s="11">
        <f t="shared" si="37"/>
        <v>73.315226228257998</v>
      </c>
      <c r="Q426" s="913">
        <f t="shared" si="38"/>
        <v>0</v>
      </c>
      <c r="R426" s="11">
        <f t="shared" si="39"/>
        <v>0.31749815139100002</v>
      </c>
      <c r="S426" s="913">
        <f t="shared" si="40"/>
        <v>31</v>
      </c>
    </row>
    <row r="427" spans="1:19" x14ac:dyDescent="0.2">
      <c r="A427" s="11">
        <f t="shared" si="41"/>
        <v>425</v>
      </c>
      <c r="B427" s="11">
        <v>0.66364791649100008</v>
      </c>
      <c r="C427" s="11">
        <v>0.65841258691269999</v>
      </c>
      <c r="D427" s="11"/>
      <c r="E427" s="11">
        <v>72.739597973951803</v>
      </c>
      <c r="F427" s="11"/>
      <c r="G427" s="11">
        <v>74.061658477355508</v>
      </c>
      <c r="H427" s="11"/>
      <c r="I427" s="914">
        <f>+SUM(B428:B$501)</f>
        <v>207.88192620253818</v>
      </c>
      <c r="J427" s="914">
        <f>+SUM(C428:C$501)</f>
        <v>201.55070307004067</v>
      </c>
      <c r="K427" s="914">
        <f t="shared" si="36"/>
        <v>409.43262927257888</v>
      </c>
      <c r="L427" s="914">
        <f>+SUM(D428:D$501)</f>
        <v>111.10849314327268</v>
      </c>
      <c r="M427" s="914">
        <f>+SUM(E428:E$501)</f>
        <v>2726.8092749951415</v>
      </c>
      <c r="N427" s="914">
        <f>+SUM(F428:F$501)</f>
        <v>14.676988938246001</v>
      </c>
      <c r="O427" s="914">
        <f>+SUM(G428:G$501)</f>
        <v>3262.027386349238</v>
      </c>
      <c r="P427" s="11">
        <f t="shared" si="37"/>
        <v>72.739597973951803</v>
      </c>
      <c r="Q427" s="913">
        <f t="shared" si="38"/>
        <v>0</v>
      </c>
      <c r="R427" s="11">
        <f t="shared" si="39"/>
        <v>0.31749815139100002</v>
      </c>
      <c r="S427" s="913">
        <f t="shared" si="40"/>
        <v>30</v>
      </c>
    </row>
    <row r="428" spans="1:19" x14ac:dyDescent="0.2">
      <c r="A428" s="11">
        <f t="shared" si="41"/>
        <v>426</v>
      </c>
      <c r="B428" s="11">
        <v>1.2796647004355999</v>
      </c>
      <c r="C428" s="11">
        <v>0.80672196867000001</v>
      </c>
      <c r="D428" s="11"/>
      <c r="E428" s="11">
        <v>71.933707845800001</v>
      </c>
      <c r="F428" s="11"/>
      <c r="G428" s="11">
        <v>74.020094514905594</v>
      </c>
      <c r="H428" s="11"/>
      <c r="I428" s="914">
        <f>+SUM(B429:B$501)</f>
        <v>206.60226150210258</v>
      </c>
      <c r="J428" s="914">
        <f>+SUM(C429:C$501)</f>
        <v>200.74398110137068</v>
      </c>
      <c r="K428" s="914">
        <f t="shared" si="36"/>
        <v>407.34624260347323</v>
      </c>
      <c r="L428" s="914">
        <f>+SUM(D429:D$501)</f>
        <v>111.10849314327268</v>
      </c>
      <c r="M428" s="914">
        <f>+SUM(E429:E$501)</f>
        <v>2654.8755671493414</v>
      </c>
      <c r="N428" s="914">
        <f>+SUM(F429:F$501)</f>
        <v>14.676988938246001</v>
      </c>
      <c r="O428" s="914">
        <f>+SUM(G429:G$501)</f>
        <v>3188.0072918343326</v>
      </c>
      <c r="P428" s="11">
        <f t="shared" si="37"/>
        <v>71.933707845800001</v>
      </c>
      <c r="Q428" s="913">
        <f t="shared" si="38"/>
        <v>0</v>
      </c>
      <c r="R428" s="11">
        <f t="shared" si="39"/>
        <v>0.31749815139100002</v>
      </c>
      <c r="S428" s="913">
        <f t="shared" si="40"/>
        <v>29</v>
      </c>
    </row>
    <row r="429" spans="1:19" x14ac:dyDescent="0.2">
      <c r="A429" s="11">
        <f t="shared" si="41"/>
        <v>427</v>
      </c>
      <c r="B429" s="11">
        <v>6.2633889249969998</v>
      </c>
      <c r="C429" s="11">
        <v>0.66351742669140001</v>
      </c>
      <c r="D429" s="11"/>
      <c r="E429" s="11">
        <v>67.267737763705995</v>
      </c>
      <c r="F429" s="11"/>
      <c r="G429" s="11">
        <v>74.194644115394397</v>
      </c>
      <c r="H429" s="11"/>
      <c r="I429" s="914">
        <f>+SUM(B430:B$501)</f>
        <v>200.33887257710558</v>
      </c>
      <c r="J429" s="914">
        <f>+SUM(C430:C$501)</f>
        <v>200.08046367467929</v>
      </c>
      <c r="K429" s="914">
        <f t="shared" si="36"/>
        <v>400.4193362517849</v>
      </c>
      <c r="L429" s="914">
        <f>+SUM(D430:D$501)</f>
        <v>111.10849314327268</v>
      </c>
      <c r="M429" s="914">
        <f>+SUM(E430:E$501)</f>
        <v>2587.6078293856349</v>
      </c>
      <c r="N429" s="914">
        <f>+SUM(F430:F$501)</f>
        <v>14.676988938246001</v>
      </c>
      <c r="O429" s="914">
        <f>+SUM(G430:G$501)</f>
        <v>3113.8126477189376</v>
      </c>
      <c r="P429" s="11">
        <f t="shared" si="37"/>
        <v>67.267737763705995</v>
      </c>
      <c r="Q429" s="913">
        <f t="shared" si="38"/>
        <v>0</v>
      </c>
      <c r="R429" s="11">
        <f t="shared" si="39"/>
        <v>0.31749815139100002</v>
      </c>
      <c r="S429" s="913">
        <f t="shared" si="40"/>
        <v>28</v>
      </c>
    </row>
    <row r="430" spans="1:19" x14ac:dyDescent="0.2">
      <c r="A430" s="11">
        <f t="shared" si="41"/>
        <v>428</v>
      </c>
      <c r="B430" s="11">
        <v>2.6471648314738001</v>
      </c>
      <c r="C430" s="11">
        <v>0.69290639397570009</v>
      </c>
      <c r="D430" s="11"/>
      <c r="E430" s="11">
        <v>71.236419064000003</v>
      </c>
      <c r="F430" s="11"/>
      <c r="G430" s="11">
        <v>74.576490289449509</v>
      </c>
      <c r="H430" s="11"/>
      <c r="I430" s="914">
        <f>+SUM(B431:B$501)</f>
        <v>197.69170774563173</v>
      </c>
      <c r="J430" s="914">
        <f>+SUM(C431:C$501)</f>
        <v>199.38755728070359</v>
      </c>
      <c r="K430" s="914">
        <f t="shared" si="36"/>
        <v>397.07926502633529</v>
      </c>
      <c r="L430" s="914">
        <f>+SUM(D431:D$501)</f>
        <v>111.10849314327268</v>
      </c>
      <c r="M430" s="914">
        <f>+SUM(E431:E$501)</f>
        <v>2516.3714103216348</v>
      </c>
      <c r="N430" s="914">
        <f>+SUM(F431:F$501)</f>
        <v>14.676988938246001</v>
      </c>
      <c r="O430" s="914">
        <f>+SUM(G431:G$501)</f>
        <v>3039.2361574294887</v>
      </c>
      <c r="P430" s="11">
        <f t="shared" si="37"/>
        <v>71.236419064000003</v>
      </c>
      <c r="Q430" s="913">
        <f t="shared" si="38"/>
        <v>0</v>
      </c>
      <c r="R430" s="11">
        <f t="shared" si="39"/>
        <v>0.31749815139100002</v>
      </c>
      <c r="S430" s="913">
        <f t="shared" si="40"/>
        <v>27</v>
      </c>
    </row>
    <row r="431" spans="1:19" x14ac:dyDescent="0.2">
      <c r="A431" s="11">
        <f t="shared" si="41"/>
        <v>429</v>
      </c>
      <c r="B431" s="11">
        <v>3.3286051421522003</v>
      </c>
      <c r="C431" s="11">
        <v>0.65728977662200005</v>
      </c>
      <c r="D431" s="11"/>
      <c r="E431" s="11">
        <v>70.127019267050002</v>
      </c>
      <c r="F431" s="11"/>
      <c r="G431" s="11">
        <v>74.112914185824209</v>
      </c>
      <c r="H431" s="11"/>
      <c r="I431" s="914">
        <f>+SUM(B432:B$501)</f>
        <v>194.36310260347955</v>
      </c>
      <c r="J431" s="914">
        <f>+SUM(C432:C$501)</f>
        <v>198.73026750408158</v>
      </c>
      <c r="K431" s="914">
        <f t="shared" si="36"/>
        <v>393.0933701075611</v>
      </c>
      <c r="L431" s="914">
        <f>+SUM(D432:D$501)</f>
        <v>111.10849314327268</v>
      </c>
      <c r="M431" s="914">
        <f>+SUM(E432:E$501)</f>
        <v>2446.2443910545849</v>
      </c>
      <c r="N431" s="914">
        <f>+SUM(F432:F$501)</f>
        <v>14.676988938246001</v>
      </c>
      <c r="O431" s="914">
        <f>+SUM(G432:G$501)</f>
        <v>2965.1232432436641</v>
      </c>
      <c r="P431" s="11">
        <f t="shared" si="37"/>
        <v>70.127019267050002</v>
      </c>
      <c r="Q431" s="913">
        <f t="shared" si="38"/>
        <v>0</v>
      </c>
      <c r="R431" s="11">
        <f t="shared" si="39"/>
        <v>0.31749815139100002</v>
      </c>
      <c r="S431" s="913">
        <f t="shared" si="40"/>
        <v>26</v>
      </c>
    </row>
    <row r="432" spans="1:19" x14ac:dyDescent="0.2">
      <c r="A432" s="11">
        <f t="shared" si="41"/>
        <v>430</v>
      </c>
      <c r="B432" s="11">
        <v>3.5014102300239998</v>
      </c>
      <c r="C432" s="11">
        <v>0.87966643171900005</v>
      </c>
      <c r="D432" s="11"/>
      <c r="E432" s="11">
        <v>68.993233860584013</v>
      </c>
      <c r="F432" s="11"/>
      <c r="G432" s="11">
        <v>73.374310522327008</v>
      </c>
      <c r="H432" s="11"/>
      <c r="I432" s="914">
        <f>+SUM(B433:B$501)</f>
        <v>190.86169237345553</v>
      </c>
      <c r="J432" s="914">
        <f>+SUM(C433:C$501)</f>
        <v>197.85060107236259</v>
      </c>
      <c r="K432" s="914">
        <f t="shared" si="36"/>
        <v>388.71229344581809</v>
      </c>
      <c r="L432" s="914">
        <f>+SUM(D433:D$501)</f>
        <v>111.10849314327268</v>
      </c>
      <c r="M432" s="914">
        <f>+SUM(E433:E$501)</f>
        <v>2377.2511571940004</v>
      </c>
      <c r="N432" s="914">
        <f>+SUM(F433:F$501)</f>
        <v>14.676988938246001</v>
      </c>
      <c r="O432" s="914">
        <f>+SUM(G433:G$501)</f>
        <v>2891.7489327213375</v>
      </c>
      <c r="P432" s="11">
        <f t="shared" si="37"/>
        <v>68.993233860584013</v>
      </c>
      <c r="Q432" s="913">
        <f t="shared" si="38"/>
        <v>0</v>
      </c>
      <c r="R432" s="11">
        <f t="shared" si="39"/>
        <v>0.31749815139100002</v>
      </c>
      <c r="S432" s="913">
        <f t="shared" si="40"/>
        <v>25</v>
      </c>
    </row>
    <row r="433" spans="1:19" x14ac:dyDescent="0.2">
      <c r="A433" s="11">
        <f t="shared" si="41"/>
        <v>431</v>
      </c>
      <c r="B433" s="11">
        <v>1.2344262216593</v>
      </c>
      <c r="C433" s="11">
        <v>0.65728950734500002</v>
      </c>
      <c r="D433" s="11"/>
      <c r="E433" s="11">
        <v>70.81371869681</v>
      </c>
      <c r="F433" s="11"/>
      <c r="G433" s="11">
        <v>72.705434425814303</v>
      </c>
      <c r="H433" s="11"/>
      <c r="I433" s="914">
        <f>+SUM(B434:B$501)</f>
        <v>189.62726615179628</v>
      </c>
      <c r="J433" s="914">
        <f>+SUM(C434:C$501)</f>
        <v>197.19331156501758</v>
      </c>
      <c r="K433" s="914">
        <f t="shared" si="36"/>
        <v>386.82057771681389</v>
      </c>
      <c r="L433" s="914">
        <f>+SUM(D434:D$501)</f>
        <v>111.10849314327268</v>
      </c>
      <c r="M433" s="914">
        <f>+SUM(E434:E$501)</f>
        <v>2306.4374384971907</v>
      </c>
      <c r="N433" s="914">
        <f>+SUM(F434:F$501)</f>
        <v>14.676988938246001</v>
      </c>
      <c r="O433" s="914">
        <f>+SUM(G434:G$501)</f>
        <v>2819.0434982955226</v>
      </c>
      <c r="P433" s="11">
        <f t="shared" si="37"/>
        <v>70.81371869681</v>
      </c>
      <c r="Q433" s="913">
        <f t="shared" si="38"/>
        <v>0</v>
      </c>
      <c r="R433" s="11">
        <f t="shared" si="39"/>
        <v>0.31749815139100002</v>
      </c>
      <c r="S433" s="913">
        <f t="shared" si="40"/>
        <v>24</v>
      </c>
    </row>
    <row r="434" spans="1:19" x14ac:dyDescent="0.2">
      <c r="A434" s="11">
        <f t="shared" si="41"/>
        <v>432</v>
      </c>
      <c r="B434" s="11">
        <v>0.94546428772199997</v>
      </c>
      <c r="C434" s="11">
        <v>0.69777957770940002</v>
      </c>
      <c r="D434" s="11"/>
      <c r="E434" s="11">
        <v>70.339288716851911</v>
      </c>
      <c r="F434" s="11"/>
      <c r="G434" s="11">
        <v>71.982532582283312</v>
      </c>
      <c r="H434" s="11"/>
      <c r="I434" s="914">
        <f>+SUM(B435:B$501)</f>
        <v>188.68180186407426</v>
      </c>
      <c r="J434" s="914">
        <f>+SUM(C435:C$501)</f>
        <v>196.49553198730817</v>
      </c>
      <c r="K434" s="914">
        <f t="shared" si="36"/>
        <v>385.1773338513824</v>
      </c>
      <c r="L434" s="914">
        <f>+SUM(D435:D$501)</f>
        <v>111.10849314327268</v>
      </c>
      <c r="M434" s="914">
        <f>+SUM(E435:E$501)</f>
        <v>2236.0981497803386</v>
      </c>
      <c r="N434" s="914">
        <f>+SUM(F435:F$501)</f>
        <v>14.676988938246001</v>
      </c>
      <c r="O434" s="914">
        <f>+SUM(G435:G$501)</f>
        <v>2747.0609657132395</v>
      </c>
      <c r="P434" s="11">
        <f t="shared" si="37"/>
        <v>70.339288716851911</v>
      </c>
      <c r="Q434" s="913">
        <f t="shared" si="38"/>
        <v>0</v>
      </c>
      <c r="R434" s="11">
        <f t="shared" si="39"/>
        <v>0.31749815139100002</v>
      </c>
      <c r="S434" s="913">
        <f t="shared" si="40"/>
        <v>23</v>
      </c>
    </row>
    <row r="435" spans="1:19" x14ac:dyDescent="0.2">
      <c r="A435" s="11">
        <f t="shared" si="41"/>
        <v>433</v>
      </c>
      <c r="B435" s="11">
        <v>0.82664897638199997</v>
      </c>
      <c r="C435" s="11">
        <v>0.69591377528309006</v>
      </c>
      <c r="D435" s="11"/>
      <c r="E435" s="11">
        <v>69.544013783726044</v>
      </c>
      <c r="F435" s="11"/>
      <c r="G435" s="11">
        <v>71.066576535391135</v>
      </c>
      <c r="H435" s="11"/>
      <c r="I435" s="914">
        <f>+SUM(B436:B$501)</f>
        <v>187.85515288769227</v>
      </c>
      <c r="J435" s="914">
        <f>+SUM(C436:C$501)</f>
        <v>195.79961821202508</v>
      </c>
      <c r="K435" s="914">
        <f t="shared" si="36"/>
        <v>383.65477109971732</v>
      </c>
      <c r="L435" s="914">
        <f>+SUM(D436:D$501)</f>
        <v>111.10849314327268</v>
      </c>
      <c r="M435" s="914">
        <f>+SUM(E436:E$501)</f>
        <v>2166.5541359966123</v>
      </c>
      <c r="N435" s="914">
        <f>+SUM(F436:F$501)</f>
        <v>14.676988938246001</v>
      </c>
      <c r="O435" s="914">
        <f>+SUM(G436:G$501)</f>
        <v>2675.994389177848</v>
      </c>
      <c r="P435" s="11">
        <f t="shared" si="37"/>
        <v>69.544013783726044</v>
      </c>
      <c r="Q435" s="913">
        <f t="shared" si="38"/>
        <v>0</v>
      </c>
      <c r="R435" s="11">
        <f t="shared" si="39"/>
        <v>0.31749815139100002</v>
      </c>
      <c r="S435" s="913">
        <f t="shared" si="40"/>
        <v>22</v>
      </c>
    </row>
    <row r="436" spans="1:19" x14ac:dyDescent="0.2">
      <c r="A436" s="11">
        <f t="shared" si="41"/>
        <v>434</v>
      </c>
      <c r="B436" s="11">
        <v>1.1887518659635341</v>
      </c>
      <c r="C436" s="11">
        <v>2.7538726541629996</v>
      </c>
      <c r="D436" s="11"/>
      <c r="E436" s="11">
        <v>66.039456831356006</v>
      </c>
      <c r="F436" s="11"/>
      <c r="G436" s="11">
        <v>69.982081351482535</v>
      </c>
      <c r="H436" s="11"/>
      <c r="I436" s="914">
        <f>+SUM(B437:B$501)</f>
        <v>186.66640102172875</v>
      </c>
      <c r="J436" s="914">
        <f>+SUM(C437:C$501)</f>
        <v>193.04574555786209</v>
      </c>
      <c r="K436" s="914">
        <f t="shared" si="36"/>
        <v>379.71214657959081</v>
      </c>
      <c r="L436" s="914">
        <f>+SUM(D437:D$501)</f>
        <v>111.10849314327268</v>
      </c>
      <c r="M436" s="914">
        <f>+SUM(E437:E$501)</f>
        <v>2100.5146791652564</v>
      </c>
      <c r="N436" s="914">
        <f>+SUM(F437:F$501)</f>
        <v>14.676988938246001</v>
      </c>
      <c r="O436" s="914">
        <f>+SUM(G437:G$501)</f>
        <v>2606.0123078263655</v>
      </c>
      <c r="P436" s="11">
        <f t="shared" si="37"/>
        <v>66.039456831356006</v>
      </c>
      <c r="Q436" s="913">
        <f t="shared" si="38"/>
        <v>0</v>
      </c>
      <c r="R436" s="11">
        <f t="shared" si="39"/>
        <v>0.31749815139100002</v>
      </c>
      <c r="S436" s="913">
        <f t="shared" si="40"/>
        <v>21</v>
      </c>
    </row>
    <row r="437" spans="1:19" x14ac:dyDescent="0.2">
      <c r="A437" s="11">
        <f t="shared" si="41"/>
        <v>435</v>
      </c>
      <c r="B437" s="11">
        <v>1.3226719434047696</v>
      </c>
      <c r="C437" s="11">
        <v>4.0802217501289002</v>
      </c>
      <c r="D437" s="11"/>
      <c r="E437" s="11">
        <v>63.286871822690003</v>
      </c>
      <c r="F437" s="11"/>
      <c r="G437" s="11">
        <v>68.689765516223673</v>
      </c>
      <c r="H437" s="11"/>
      <c r="I437" s="914">
        <f>+SUM(B438:B$501)</f>
        <v>185.34372907832397</v>
      </c>
      <c r="J437" s="914">
        <f>+SUM(C438:C$501)</f>
        <v>188.96552380773321</v>
      </c>
      <c r="K437" s="914">
        <f t="shared" si="36"/>
        <v>374.30925288605715</v>
      </c>
      <c r="L437" s="914">
        <f>+SUM(D438:D$501)</f>
        <v>111.10849314327268</v>
      </c>
      <c r="M437" s="914">
        <f>+SUM(E438:E$501)</f>
        <v>2037.2278073425664</v>
      </c>
      <c r="N437" s="914">
        <f>+SUM(F438:F$501)</f>
        <v>14.676988938246001</v>
      </c>
      <c r="O437" s="914">
        <f>+SUM(G438:G$501)</f>
        <v>2537.3225423101426</v>
      </c>
      <c r="P437" s="11">
        <f t="shared" si="37"/>
        <v>63.286871822690003</v>
      </c>
      <c r="Q437" s="913">
        <f t="shared" si="38"/>
        <v>0</v>
      </c>
      <c r="R437" s="11">
        <f t="shared" si="39"/>
        <v>0.31749815139100002</v>
      </c>
      <c r="S437" s="913">
        <f t="shared" si="40"/>
        <v>20</v>
      </c>
    </row>
    <row r="438" spans="1:19" x14ac:dyDescent="0.2">
      <c r="A438" s="11">
        <f t="shared" si="41"/>
        <v>436</v>
      </c>
      <c r="B438" s="11">
        <v>2.2509162136332002</v>
      </c>
      <c r="C438" s="11">
        <v>4.9194647398119997</v>
      </c>
      <c r="D438" s="11"/>
      <c r="E438" s="11">
        <v>60.007103577670001</v>
      </c>
      <c r="F438" s="11"/>
      <c r="G438" s="11">
        <v>67.177484531115198</v>
      </c>
      <c r="H438" s="11"/>
      <c r="I438" s="914">
        <f>+SUM(B439:B$501)</f>
        <v>183.09281286469076</v>
      </c>
      <c r="J438" s="914">
        <f>+SUM(C439:C$501)</f>
        <v>184.04605906792122</v>
      </c>
      <c r="K438" s="914">
        <f t="shared" si="36"/>
        <v>367.13887193261201</v>
      </c>
      <c r="L438" s="914">
        <f>+SUM(D439:D$501)</f>
        <v>111.10849314327268</v>
      </c>
      <c r="M438" s="914">
        <f>+SUM(E439:E$501)</f>
        <v>1977.2207037648966</v>
      </c>
      <c r="N438" s="914">
        <f>+SUM(F439:F$501)</f>
        <v>14.676988938246001</v>
      </c>
      <c r="O438" s="914">
        <f>+SUM(G439:G$501)</f>
        <v>2470.1450577790279</v>
      </c>
      <c r="P438" s="11">
        <f t="shared" si="37"/>
        <v>60.007103577670001</v>
      </c>
      <c r="Q438" s="913">
        <f t="shared" si="38"/>
        <v>0</v>
      </c>
      <c r="R438" s="11">
        <f t="shared" si="39"/>
        <v>0.31749815139100002</v>
      </c>
      <c r="S438" s="913">
        <f t="shared" si="40"/>
        <v>19</v>
      </c>
    </row>
    <row r="439" spans="1:19" x14ac:dyDescent="0.2">
      <c r="A439" s="11">
        <f t="shared" si="41"/>
        <v>437</v>
      </c>
      <c r="B439" s="11">
        <v>3.0829175497101002</v>
      </c>
      <c r="C439" s="11">
        <v>4.41536178815032</v>
      </c>
      <c r="D439" s="11"/>
      <c r="E439" s="11">
        <v>57.9530625198759</v>
      </c>
      <c r="F439" s="11"/>
      <c r="G439" s="11">
        <v>65.451341857736324</v>
      </c>
      <c r="H439" s="11"/>
      <c r="I439" s="914">
        <f>+SUM(B440:B$501)</f>
        <v>180.00989531498067</v>
      </c>
      <c r="J439" s="914">
        <f>+SUM(C440:C$501)</f>
        <v>179.63069727977091</v>
      </c>
      <c r="K439" s="914">
        <f t="shared" si="36"/>
        <v>359.64059259475158</v>
      </c>
      <c r="L439" s="914">
        <f>+SUM(D440:D$501)</f>
        <v>111.10849314327268</v>
      </c>
      <c r="M439" s="914">
        <f>+SUM(E440:E$501)</f>
        <v>1919.2676412450207</v>
      </c>
      <c r="N439" s="914">
        <f>+SUM(F440:F$501)</f>
        <v>14.676988938246001</v>
      </c>
      <c r="O439" s="914">
        <f>+SUM(G440:G$501)</f>
        <v>2404.6937159212907</v>
      </c>
      <c r="P439" s="11">
        <f t="shared" si="37"/>
        <v>57.9530625198759</v>
      </c>
      <c r="Q439" s="913">
        <f t="shared" si="38"/>
        <v>0</v>
      </c>
      <c r="R439" s="11">
        <f t="shared" si="39"/>
        <v>0.31749815139100002</v>
      </c>
      <c r="S439" s="913">
        <f t="shared" si="40"/>
        <v>18</v>
      </c>
    </row>
    <row r="440" spans="1:19" x14ac:dyDescent="0.2">
      <c r="A440" s="11">
        <f t="shared" si="41"/>
        <v>438</v>
      </c>
      <c r="B440" s="11">
        <v>3.3547554414519998</v>
      </c>
      <c r="C440" s="11">
        <v>6.0144754652390002</v>
      </c>
      <c r="D440" s="11"/>
      <c r="E440" s="11">
        <v>54.272037356433607</v>
      </c>
      <c r="F440" s="11"/>
      <c r="G440" s="11">
        <v>63.641268263124608</v>
      </c>
      <c r="H440" s="11"/>
      <c r="I440" s="914">
        <f>+SUM(B441:B$501)</f>
        <v>176.6551398735287</v>
      </c>
      <c r="J440" s="914">
        <f>+SUM(C441:C$501)</f>
        <v>173.61622181453188</v>
      </c>
      <c r="K440" s="914">
        <f t="shared" si="36"/>
        <v>350.27136168806055</v>
      </c>
      <c r="L440" s="914">
        <f>+SUM(D441:D$501)</f>
        <v>111.10849314327268</v>
      </c>
      <c r="M440" s="914">
        <f>+SUM(E441:E$501)</f>
        <v>1864.9956038885871</v>
      </c>
      <c r="N440" s="914">
        <f>+SUM(F441:F$501)</f>
        <v>14.676988938246001</v>
      </c>
      <c r="O440" s="914">
        <f>+SUM(G441:G$501)</f>
        <v>2341.0524476581663</v>
      </c>
      <c r="P440" s="11">
        <f t="shared" si="37"/>
        <v>54.272037356433607</v>
      </c>
      <c r="Q440" s="913">
        <f t="shared" si="38"/>
        <v>0</v>
      </c>
      <c r="R440" s="11">
        <f t="shared" si="39"/>
        <v>0.31749815139100002</v>
      </c>
      <c r="S440" s="913">
        <f t="shared" si="40"/>
        <v>17</v>
      </c>
    </row>
    <row r="441" spans="1:19" x14ac:dyDescent="0.2">
      <c r="A441" s="11">
        <f t="shared" si="41"/>
        <v>439</v>
      </c>
      <c r="B441" s="11">
        <v>2.8703622414750001</v>
      </c>
      <c r="C441" s="11">
        <v>5.0086597768000001</v>
      </c>
      <c r="D441" s="11"/>
      <c r="E441" s="11">
        <v>53.916512276700303</v>
      </c>
      <c r="F441" s="11"/>
      <c r="G441" s="11">
        <v>61.795534294975305</v>
      </c>
      <c r="H441" s="11"/>
      <c r="I441" s="914">
        <f>+SUM(B442:B$501)</f>
        <v>173.7847776320537</v>
      </c>
      <c r="J441" s="914">
        <f>+SUM(C442:C$501)</f>
        <v>168.6075620377319</v>
      </c>
      <c r="K441" s="914">
        <f t="shared" si="36"/>
        <v>342.3923396697856</v>
      </c>
      <c r="L441" s="914">
        <f>+SUM(D442:D$501)</f>
        <v>111.10849314327268</v>
      </c>
      <c r="M441" s="914">
        <f>+SUM(E442:E$501)</f>
        <v>1811.0790916118867</v>
      </c>
      <c r="N441" s="914">
        <f>+SUM(F442:F$501)</f>
        <v>14.676988938246001</v>
      </c>
      <c r="O441" s="914">
        <f>+SUM(G442:G$501)</f>
        <v>2279.256913363191</v>
      </c>
      <c r="P441" s="11">
        <f t="shared" si="37"/>
        <v>53.916512276700303</v>
      </c>
      <c r="Q441" s="913">
        <f t="shared" si="38"/>
        <v>0</v>
      </c>
      <c r="R441" s="11">
        <f t="shared" si="39"/>
        <v>0.31749815139100002</v>
      </c>
      <c r="S441" s="913">
        <f t="shared" si="40"/>
        <v>16</v>
      </c>
    </row>
    <row r="442" spans="1:19" x14ac:dyDescent="0.2">
      <c r="A442" s="11">
        <f t="shared" si="41"/>
        <v>440</v>
      </c>
      <c r="B442" s="11">
        <v>3.0309756157322001</v>
      </c>
      <c r="C442" s="11">
        <v>2.80423318289</v>
      </c>
      <c r="D442" s="11"/>
      <c r="E442" s="11">
        <v>54.191802127000003</v>
      </c>
      <c r="F442" s="11"/>
      <c r="G442" s="11">
        <v>60.0270109256222</v>
      </c>
      <c r="H442" s="11"/>
      <c r="I442" s="914">
        <f>+SUM(B443:B$501)</f>
        <v>170.75380201632152</v>
      </c>
      <c r="J442" s="914">
        <f>+SUM(C443:C$501)</f>
        <v>165.80332885484191</v>
      </c>
      <c r="K442" s="914">
        <f t="shared" si="36"/>
        <v>336.55713087116339</v>
      </c>
      <c r="L442" s="914">
        <f>+SUM(D443:D$501)</f>
        <v>111.10849314327268</v>
      </c>
      <c r="M442" s="914">
        <f>+SUM(E443:E$501)</f>
        <v>1756.8872894848867</v>
      </c>
      <c r="N442" s="914">
        <f>+SUM(F443:F$501)</f>
        <v>14.676988938246001</v>
      </c>
      <c r="O442" s="914">
        <f>+SUM(G443:G$501)</f>
        <v>2219.2299024375689</v>
      </c>
      <c r="P442" s="11">
        <f t="shared" si="37"/>
        <v>54.191802127000003</v>
      </c>
      <c r="Q442" s="913">
        <f t="shared" si="38"/>
        <v>0</v>
      </c>
      <c r="R442" s="11">
        <f t="shared" si="39"/>
        <v>0.31749815139100002</v>
      </c>
      <c r="S442" s="913">
        <f t="shared" si="40"/>
        <v>15</v>
      </c>
    </row>
    <row r="443" spans="1:19" x14ac:dyDescent="0.2">
      <c r="A443" s="11">
        <f t="shared" si="41"/>
        <v>441</v>
      </c>
      <c r="B443" s="11">
        <v>2.4505515128099997</v>
      </c>
      <c r="C443" s="11">
        <v>4.054410572407785</v>
      </c>
      <c r="D443" s="11"/>
      <c r="E443" s="11">
        <v>60.410430862662025</v>
      </c>
      <c r="F443" s="11"/>
      <c r="G443" s="11">
        <v>66.915392947879809</v>
      </c>
      <c r="H443" s="11"/>
      <c r="I443" s="914">
        <f>+SUM(B444:B$501)</f>
        <v>168.30325050351149</v>
      </c>
      <c r="J443" s="914">
        <f>+SUM(C444:C$501)</f>
        <v>161.74891828243412</v>
      </c>
      <c r="K443" s="914">
        <f t="shared" si="36"/>
        <v>330.05216878594558</v>
      </c>
      <c r="L443" s="914">
        <f>+SUM(D444:D$501)</f>
        <v>111.10849314327268</v>
      </c>
      <c r="M443" s="914">
        <f>+SUM(E444:E$501)</f>
        <v>1696.4768586222247</v>
      </c>
      <c r="N443" s="914">
        <f>+SUM(F444:F$501)</f>
        <v>14.676988938246001</v>
      </c>
      <c r="O443" s="914">
        <f>+SUM(G444:G$501)</f>
        <v>2152.3145094896895</v>
      </c>
      <c r="P443" s="11">
        <f t="shared" si="37"/>
        <v>60.410430862662025</v>
      </c>
      <c r="Q443" s="913">
        <f t="shared" si="38"/>
        <v>0</v>
      </c>
      <c r="R443" s="11">
        <f t="shared" si="39"/>
        <v>0.31749815139100002</v>
      </c>
      <c r="S443" s="913">
        <f t="shared" si="40"/>
        <v>14</v>
      </c>
    </row>
    <row r="444" spans="1:19" x14ac:dyDescent="0.2">
      <c r="A444" s="11">
        <f t="shared" si="41"/>
        <v>442</v>
      </c>
      <c r="B444" s="11">
        <v>0.71622328416600001</v>
      </c>
      <c r="C444" s="11">
        <v>4.0392678667091602</v>
      </c>
      <c r="D444" s="11"/>
      <c r="E444" s="11">
        <v>61.433033931095395</v>
      </c>
      <c r="F444" s="11"/>
      <c r="G444" s="11">
        <v>66.188525081970553</v>
      </c>
      <c r="H444" s="11"/>
      <c r="I444" s="914">
        <f>+SUM(B445:B$501)</f>
        <v>167.58702721934549</v>
      </c>
      <c r="J444" s="914">
        <f>+SUM(C445:C$501)</f>
        <v>157.70965041572495</v>
      </c>
      <c r="K444" s="914">
        <f t="shared" si="36"/>
        <v>325.29667763507041</v>
      </c>
      <c r="L444" s="914">
        <f>+SUM(D445:D$501)</f>
        <v>111.10849314327268</v>
      </c>
      <c r="M444" s="914">
        <f>+SUM(E445:E$501)</f>
        <v>1635.043824691129</v>
      </c>
      <c r="N444" s="914">
        <f>+SUM(F445:F$501)</f>
        <v>14.676988938246001</v>
      </c>
      <c r="O444" s="914">
        <f>+SUM(G445:G$501)</f>
        <v>2086.125984407719</v>
      </c>
      <c r="P444" s="11">
        <f t="shared" si="37"/>
        <v>61.433033931095395</v>
      </c>
      <c r="Q444" s="913">
        <f t="shared" si="38"/>
        <v>0</v>
      </c>
      <c r="R444" s="11">
        <f t="shared" si="39"/>
        <v>0.31749815139100002</v>
      </c>
      <c r="S444" s="913">
        <f t="shared" si="40"/>
        <v>13</v>
      </c>
    </row>
    <row r="445" spans="1:19" x14ac:dyDescent="0.2">
      <c r="A445" s="11">
        <f t="shared" si="41"/>
        <v>443</v>
      </c>
      <c r="B445" s="11">
        <v>0.64442933756749998</v>
      </c>
      <c r="C445" s="11">
        <v>4.4489588075069992</v>
      </c>
      <c r="D445" s="11">
        <v>0.14593394074759999</v>
      </c>
      <c r="E445" s="11">
        <v>63.113596418123997</v>
      </c>
      <c r="F445" s="11"/>
      <c r="G445" s="11">
        <v>68.3529185039461</v>
      </c>
      <c r="H445" s="11"/>
      <c r="I445" s="914">
        <f>+SUM(B446:B$501)</f>
        <v>166.942597881778</v>
      </c>
      <c r="J445" s="914">
        <f>+SUM(C446:C$501)</f>
        <v>153.26069160821794</v>
      </c>
      <c r="K445" s="914">
        <f t="shared" si="36"/>
        <v>320.20328948999594</v>
      </c>
      <c r="L445" s="914">
        <f>+SUM(D446:D$501)</f>
        <v>110.96255920252509</v>
      </c>
      <c r="M445" s="914">
        <f>+SUM(E446:E$501)</f>
        <v>1571.930228273005</v>
      </c>
      <c r="N445" s="914">
        <f>+SUM(F446:F$501)</f>
        <v>14.676988938246001</v>
      </c>
      <c r="O445" s="914">
        <f>+SUM(G446:G$501)</f>
        <v>2017.7730659037732</v>
      </c>
      <c r="P445" s="11">
        <f t="shared" si="37"/>
        <v>63.113596418123997</v>
      </c>
      <c r="Q445" s="913">
        <f t="shared" si="38"/>
        <v>0</v>
      </c>
      <c r="R445" s="11">
        <f t="shared" si="39"/>
        <v>0.31749815139100002</v>
      </c>
      <c r="S445" s="913">
        <f t="shared" si="40"/>
        <v>12</v>
      </c>
    </row>
    <row r="446" spans="1:19" x14ac:dyDescent="0.2">
      <c r="A446" s="11">
        <f t="shared" si="41"/>
        <v>444</v>
      </c>
      <c r="B446" s="11">
        <v>0.85291506678670004</v>
      </c>
      <c r="C446" s="11">
        <v>4.0840229757938999</v>
      </c>
      <c r="D446" s="11">
        <v>0.44161817729909997</v>
      </c>
      <c r="E446" s="11">
        <v>55.761736429848995</v>
      </c>
      <c r="F446" s="11"/>
      <c r="G446" s="11">
        <v>61.140292649728693</v>
      </c>
      <c r="H446" s="11"/>
      <c r="I446" s="914">
        <f>+SUM(B447:B$501)</f>
        <v>166.08968281499131</v>
      </c>
      <c r="J446" s="914">
        <f>+SUM(C447:C$501)</f>
        <v>149.17666863242403</v>
      </c>
      <c r="K446" s="914">
        <f t="shared" si="36"/>
        <v>315.26635144741533</v>
      </c>
      <c r="L446" s="914">
        <f>+SUM(D447:D$501)</f>
        <v>110.52094102522597</v>
      </c>
      <c r="M446" s="914">
        <f>+SUM(E447:E$501)</f>
        <v>1516.1684918431563</v>
      </c>
      <c r="N446" s="914">
        <f>+SUM(F447:F$501)</f>
        <v>14.676988938246001</v>
      </c>
      <c r="O446" s="914">
        <f>+SUM(G447:G$501)</f>
        <v>1956.6327732540442</v>
      </c>
      <c r="P446" s="11">
        <f t="shared" si="37"/>
        <v>55.761736429848995</v>
      </c>
      <c r="Q446" s="913">
        <f t="shared" si="38"/>
        <v>0</v>
      </c>
      <c r="R446" s="11">
        <f t="shared" si="39"/>
        <v>0.31749815139100002</v>
      </c>
      <c r="S446" s="913">
        <f t="shared" si="40"/>
        <v>11</v>
      </c>
    </row>
    <row r="447" spans="1:19" x14ac:dyDescent="0.2">
      <c r="A447" s="11">
        <f t="shared" si="41"/>
        <v>445</v>
      </c>
      <c r="B447" s="11">
        <v>0.86995615644546997</v>
      </c>
      <c r="C447" s="11">
        <v>5.5857853455759994</v>
      </c>
      <c r="D447" s="11">
        <v>1.1749522805010002</v>
      </c>
      <c r="E447" s="11">
        <v>54.10221940684589</v>
      </c>
      <c r="F447" s="11"/>
      <c r="G447" s="11">
        <v>61.732913189368361</v>
      </c>
      <c r="H447" s="11"/>
      <c r="I447" s="914">
        <f>+SUM(B448:B$501)</f>
        <v>165.21972665854582</v>
      </c>
      <c r="J447" s="914">
        <f>+SUM(C448:C$501)</f>
        <v>143.59088328684803</v>
      </c>
      <c r="K447" s="914">
        <f t="shared" si="36"/>
        <v>308.81060994539382</v>
      </c>
      <c r="L447" s="914">
        <f>+SUM(D448:D$501)</f>
        <v>109.34598874472496</v>
      </c>
      <c r="M447" s="914">
        <f>+SUM(E448:E$501)</f>
        <v>1462.0662724363103</v>
      </c>
      <c r="N447" s="914">
        <f>+SUM(F448:F$501)</f>
        <v>14.676988938246001</v>
      </c>
      <c r="O447" s="914">
        <f>+SUM(G448:G$501)</f>
        <v>1894.899860064676</v>
      </c>
      <c r="P447" s="11">
        <f t="shared" si="37"/>
        <v>54.10221940684589</v>
      </c>
      <c r="Q447" s="913">
        <f t="shared" si="38"/>
        <v>0</v>
      </c>
      <c r="R447" s="11">
        <f t="shared" si="39"/>
        <v>0.31749815139100002</v>
      </c>
      <c r="S447" s="913">
        <f t="shared" si="40"/>
        <v>10</v>
      </c>
    </row>
    <row r="448" spans="1:19" x14ac:dyDescent="0.2">
      <c r="A448" s="11">
        <f t="shared" si="41"/>
        <v>446</v>
      </c>
      <c r="B448" s="11">
        <v>1.3038002307452001</v>
      </c>
      <c r="C448" s="11">
        <v>2.5549960730570032</v>
      </c>
      <c r="D448" s="11">
        <v>1.004360626297</v>
      </c>
      <c r="E448" s="11">
        <v>50.6690656218789</v>
      </c>
      <c r="F448" s="11"/>
      <c r="G448" s="11">
        <v>55.532222551978101</v>
      </c>
      <c r="H448" s="11"/>
      <c r="I448" s="914">
        <f>+SUM(B449:B$501)</f>
        <v>163.91592642780063</v>
      </c>
      <c r="J448" s="914">
        <f>+SUM(C449:C$501)</f>
        <v>141.03588721379103</v>
      </c>
      <c r="K448" s="914">
        <f t="shared" si="36"/>
        <v>304.95181364159168</v>
      </c>
      <c r="L448" s="914">
        <f>+SUM(D449:D$501)</f>
        <v>108.34162811842796</v>
      </c>
      <c r="M448" s="914">
        <f>+SUM(E449:E$501)</f>
        <v>1411.3972068144317</v>
      </c>
      <c r="N448" s="914">
        <f>+SUM(F449:F$501)</f>
        <v>14.676988938246001</v>
      </c>
      <c r="O448" s="914">
        <f>+SUM(G449:G$501)</f>
        <v>1839.3676375126979</v>
      </c>
      <c r="P448" s="11">
        <f t="shared" si="37"/>
        <v>50.6690656218789</v>
      </c>
      <c r="Q448" s="913">
        <f t="shared" si="38"/>
        <v>0</v>
      </c>
      <c r="R448" s="11">
        <f t="shared" si="39"/>
        <v>0.31749815139100002</v>
      </c>
      <c r="S448" s="913">
        <f t="shared" si="40"/>
        <v>9</v>
      </c>
    </row>
    <row r="449" spans="1:19" x14ac:dyDescent="0.2">
      <c r="A449" s="11">
        <f t="shared" si="41"/>
        <v>447</v>
      </c>
      <c r="B449" s="11">
        <v>3.2419358606889999</v>
      </c>
      <c r="C449" s="11">
        <v>4.3464181500930001</v>
      </c>
      <c r="D449" s="11">
        <v>0.5674126357689</v>
      </c>
      <c r="E449" s="11">
        <v>48.170987449949997</v>
      </c>
      <c r="F449" s="11"/>
      <c r="G449" s="11">
        <v>56.326754096500899</v>
      </c>
      <c r="H449" s="11"/>
      <c r="I449" s="914">
        <f>+SUM(B450:B$501)</f>
        <v>160.67399056711162</v>
      </c>
      <c r="J449" s="914">
        <f>+SUM(C450:C$501)</f>
        <v>136.689469063698</v>
      </c>
      <c r="K449" s="914">
        <f t="shared" si="36"/>
        <v>297.36345963080964</v>
      </c>
      <c r="L449" s="914">
        <f>+SUM(D450:D$501)</f>
        <v>107.77421548265906</v>
      </c>
      <c r="M449" s="914">
        <f>+SUM(E450:E$501)</f>
        <v>1363.2262193644815</v>
      </c>
      <c r="N449" s="914">
        <f>+SUM(F450:F$501)</f>
        <v>14.676988938246001</v>
      </c>
      <c r="O449" s="914">
        <f>+SUM(G450:G$501)</f>
        <v>1783.0408834161972</v>
      </c>
      <c r="P449" s="11">
        <f t="shared" si="37"/>
        <v>48.170987449949997</v>
      </c>
      <c r="Q449" s="913">
        <f t="shared" si="38"/>
        <v>0</v>
      </c>
      <c r="R449" s="11">
        <f t="shared" si="39"/>
        <v>0.31749815139100002</v>
      </c>
      <c r="S449" s="913">
        <f t="shared" si="40"/>
        <v>8</v>
      </c>
    </row>
    <row r="450" spans="1:19" x14ac:dyDescent="0.2">
      <c r="A450" s="11">
        <f t="shared" si="41"/>
        <v>448</v>
      </c>
      <c r="B450" s="11">
        <v>1.8279180532454999</v>
      </c>
      <c r="C450" s="11">
        <v>2.422616679201147</v>
      </c>
      <c r="D450" s="11">
        <v>0.79939249048200001</v>
      </c>
      <c r="E450" s="11">
        <v>46.577349959220001</v>
      </c>
      <c r="F450" s="11"/>
      <c r="G450" s="11">
        <v>51.627277182148646</v>
      </c>
      <c r="H450" s="11"/>
      <c r="I450" s="914">
        <f>+SUM(B451:B$501)</f>
        <v>158.84607251386615</v>
      </c>
      <c r="J450" s="914">
        <f>+SUM(C451:C$501)</f>
        <v>134.26685238449687</v>
      </c>
      <c r="K450" s="914">
        <f t="shared" si="36"/>
        <v>293.11292489836302</v>
      </c>
      <c r="L450" s="914">
        <f>+SUM(D451:D$501)</f>
        <v>106.97482299217708</v>
      </c>
      <c r="M450" s="914">
        <f>+SUM(E451:E$501)</f>
        <v>1316.6488694052616</v>
      </c>
      <c r="N450" s="914">
        <f>+SUM(F451:F$501)</f>
        <v>14.676988938246001</v>
      </c>
      <c r="O450" s="914">
        <f>+SUM(G451:G$501)</f>
        <v>1731.4136062340485</v>
      </c>
      <c r="P450" s="11">
        <f t="shared" si="37"/>
        <v>46.577349959220001</v>
      </c>
      <c r="Q450" s="913">
        <f t="shared" si="38"/>
        <v>0</v>
      </c>
      <c r="R450" s="11">
        <f t="shared" si="39"/>
        <v>0.31749815139100002</v>
      </c>
      <c r="S450" s="913">
        <f t="shared" si="40"/>
        <v>7</v>
      </c>
    </row>
    <row r="451" spans="1:19" x14ac:dyDescent="0.2">
      <c r="A451" s="11">
        <f t="shared" si="41"/>
        <v>449</v>
      </c>
      <c r="B451" s="11">
        <v>0.760513262046</v>
      </c>
      <c r="C451" s="11">
        <v>4.0690756032959996</v>
      </c>
      <c r="D451" s="11">
        <v>2.222606970462</v>
      </c>
      <c r="E451" s="11">
        <v>45.684652594789</v>
      </c>
      <c r="F451" s="11"/>
      <c r="G451" s="11">
        <v>52.736848430593</v>
      </c>
      <c r="H451" s="11"/>
      <c r="I451" s="914">
        <f>+SUM(B452:B$501)</f>
        <v>158.08555925182014</v>
      </c>
      <c r="J451" s="914">
        <f>+SUM(C452:C$501)</f>
        <v>130.19777678120087</v>
      </c>
      <c r="K451" s="914">
        <f t="shared" si="36"/>
        <v>288.28333603302099</v>
      </c>
      <c r="L451" s="914">
        <f>+SUM(D452:D$501)</f>
        <v>104.75221602171507</v>
      </c>
      <c r="M451" s="914">
        <f>+SUM(E452:E$501)</f>
        <v>1270.9642168104726</v>
      </c>
      <c r="N451" s="914">
        <f>+SUM(F452:F$501)</f>
        <v>14.676988938246001</v>
      </c>
      <c r="O451" s="914">
        <f>+SUM(G452:G$501)</f>
        <v>1678.6767578034553</v>
      </c>
      <c r="P451" s="11">
        <f t="shared" si="37"/>
        <v>45.684652594789</v>
      </c>
      <c r="Q451" s="913">
        <f t="shared" si="38"/>
        <v>0</v>
      </c>
      <c r="R451" s="11">
        <f t="shared" si="39"/>
        <v>0.31749815139100002</v>
      </c>
      <c r="S451" s="913">
        <f t="shared" si="40"/>
        <v>6</v>
      </c>
    </row>
    <row r="452" spans="1:19" x14ac:dyDescent="0.2">
      <c r="A452" s="11">
        <f t="shared" si="41"/>
        <v>450</v>
      </c>
      <c r="B452" s="11">
        <v>0.7574910845909999</v>
      </c>
      <c r="C452" s="11">
        <v>5.5804616011356201</v>
      </c>
      <c r="D452" s="11">
        <v>1.207285862265</v>
      </c>
      <c r="E452" s="11">
        <v>41.627262588098993</v>
      </c>
      <c r="F452" s="11"/>
      <c r="G452" s="11">
        <v>49.172501136090617</v>
      </c>
      <c r="H452" s="11"/>
      <c r="I452" s="914">
        <f>+SUM(B453:B$501)</f>
        <v>157.32806816722911</v>
      </c>
      <c r="J452" s="914">
        <f>+SUM(C453:C$501)</f>
        <v>124.61731518006525</v>
      </c>
      <c r="K452" s="914">
        <f t="shared" ref="K452:K501" si="42">+I452+J452</f>
        <v>281.94538334729435</v>
      </c>
      <c r="L452" s="914">
        <f>+SUM(D453:D$501)</f>
        <v>103.54493015945008</v>
      </c>
      <c r="M452" s="914">
        <f>+SUM(E453:E$501)</f>
        <v>1229.3369542223734</v>
      </c>
      <c r="N452" s="914">
        <f>+SUM(F453:F$501)</f>
        <v>14.676988938246001</v>
      </c>
      <c r="O452" s="914">
        <f>+SUM(G453:G$501)</f>
        <v>1629.5042566673649</v>
      </c>
      <c r="P452" s="11">
        <f t="shared" ref="P452:P501" si="43">IF(E452&gt;0,E452,P453)</f>
        <v>41.627262588098993</v>
      </c>
      <c r="Q452" s="913">
        <f t="shared" ref="Q452:Q501" si="44">+IF(E452&gt;0, 0, Q453+A453-A452)</f>
        <v>0</v>
      </c>
      <c r="R452" s="11">
        <f t="shared" ref="R452:R501" si="45">IF(F452&gt;0,F452,R453)</f>
        <v>0.31749815139100002</v>
      </c>
      <c r="S452" s="913">
        <f t="shared" ref="S452:S501" si="46">+IF(F452&gt;0, 0, S453+A453-A452)</f>
        <v>5</v>
      </c>
    </row>
    <row r="453" spans="1:19" x14ac:dyDescent="0.2">
      <c r="A453" s="11">
        <f t="shared" si="41"/>
        <v>451</v>
      </c>
      <c r="B453" s="11">
        <v>1.2795378543587199</v>
      </c>
      <c r="C453" s="11">
        <v>4.7602212708569995</v>
      </c>
      <c r="D453" s="11">
        <v>0.30904303789799997</v>
      </c>
      <c r="E453" s="11">
        <v>40.848744225990004</v>
      </c>
      <c r="F453" s="11"/>
      <c r="G453" s="11">
        <v>47.197546389103721</v>
      </c>
      <c r="H453" s="11"/>
      <c r="I453" s="914">
        <f>+SUM(B454:B$501)</f>
        <v>156.04853031287041</v>
      </c>
      <c r="J453" s="914">
        <f>+SUM(C454:C$501)</f>
        <v>119.85709390920825</v>
      </c>
      <c r="K453" s="914">
        <f t="shared" si="42"/>
        <v>275.90562422207864</v>
      </c>
      <c r="L453" s="914">
        <f>+SUM(D454:D$501)</f>
        <v>103.23588712155208</v>
      </c>
      <c r="M453" s="914">
        <f>+SUM(E454:E$501)</f>
        <v>1188.4882099963836</v>
      </c>
      <c r="N453" s="914">
        <f>+SUM(F454:F$501)</f>
        <v>14.676988938246001</v>
      </c>
      <c r="O453" s="914">
        <f>+SUM(G454:G$501)</f>
        <v>1582.3067102782611</v>
      </c>
      <c r="P453" s="11">
        <f t="shared" si="43"/>
        <v>40.848744225990004</v>
      </c>
      <c r="Q453" s="913">
        <f t="shared" si="44"/>
        <v>0</v>
      </c>
      <c r="R453" s="11">
        <f t="shared" si="45"/>
        <v>0.31749815139100002</v>
      </c>
      <c r="S453" s="913">
        <f t="shared" si="46"/>
        <v>4</v>
      </c>
    </row>
    <row r="454" spans="1:19" x14ac:dyDescent="0.2">
      <c r="A454" s="11">
        <f t="shared" ref="A454:A501" si="47">1+A453</f>
        <v>452</v>
      </c>
      <c r="B454" s="11">
        <v>1.8080696201199999</v>
      </c>
      <c r="C454" s="11">
        <v>3.7115902087650001</v>
      </c>
      <c r="D454" s="11"/>
      <c r="E454" s="11">
        <v>37.036923403869999</v>
      </c>
      <c r="F454" s="11"/>
      <c r="G454" s="11">
        <v>42.556583232755003</v>
      </c>
      <c r="H454" s="11"/>
      <c r="I454" s="914">
        <f>+SUM(B455:B$501)</f>
        <v>154.24046069275039</v>
      </c>
      <c r="J454" s="914">
        <f>+SUM(C455:C$501)</f>
        <v>116.14550370044323</v>
      </c>
      <c r="K454" s="914">
        <f t="shared" si="42"/>
        <v>270.3859643931936</v>
      </c>
      <c r="L454" s="914">
        <f>+SUM(D455:D$501)</f>
        <v>103.23588712155208</v>
      </c>
      <c r="M454" s="914">
        <f>+SUM(E455:E$501)</f>
        <v>1151.4512865925135</v>
      </c>
      <c r="N454" s="914">
        <f>+SUM(F455:F$501)</f>
        <v>14.676988938246001</v>
      </c>
      <c r="O454" s="914">
        <f>+SUM(G455:G$501)</f>
        <v>1539.7501270455061</v>
      </c>
      <c r="P454" s="11">
        <f t="shared" si="43"/>
        <v>37.036923403869999</v>
      </c>
      <c r="Q454" s="913">
        <f t="shared" si="44"/>
        <v>0</v>
      </c>
      <c r="R454" s="11">
        <f t="shared" si="45"/>
        <v>0.31749815139100002</v>
      </c>
      <c r="S454" s="913">
        <f t="shared" si="46"/>
        <v>3</v>
      </c>
    </row>
    <row r="455" spans="1:19" x14ac:dyDescent="0.2">
      <c r="A455" s="11">
        <f t="shared" si="47"/>
        <v>453</v>
      </c>
      <c r="B455" s="11">
        <v>4.210209723218</v>
      </c>
      <c r="C455" s="11">
        <v>4.1402242827640006</v>
      </c>
      <c r="D455" s="11">
        <v>0.88284410215300002</v>
      </c>
      <c r="E455" s="11">
        <v>32.392238587846997</v>
      </c>
      <c r="F455" s="11"/>
      <c r="G455" s="11">
        <v>41.625516695982</v>
      </c>
      <c r="H455" s="11"/>
      <c r="I455" s="914">
        <f>+SUM(B456:B$501)</f>
        <v>150.0302509695324</v>
      </c>
      <c r="J455" s="914">
        <f>+SUM(C456:C$501)</f>
        <v>112.00527941767925</v>
      </c>
      <c r="K455" s="914">
        <f t="shared" si="42"/>
        <v>262.03553038721168</v>
      </c>
      <c r="L455" s="914">
        <f>+SUM(D456:D$501)</f>
        <v>102.35304301939908</v>
      </c>
      <c r="M455" s="914">
        <f>+SUM(E456:E$501)</f>
        <v>1119.0590480046667</v>
      </c>
      <c r="N455" s="914">
        <f>+SUM(F456:F$501)</f>
        <v>14.676988938246001</v>
      </c>
      <c r="O455" s="914">
        <f>+SUM(G456:G$501)</f>
        <v>1498.1246103495241</v>
      </c>
      <c r="P455" s="11">
        <f t="shared" si="43"/>
        <v>32.392238587846997</v>
      </c>
      <c r="Q455" s="913">
        <f t="shared" si="44"/>
        <v>0</v>
      </c>
      <c r="R455" s="11">
        <f t="shared" si="45"/>
        <v>0.31749815139100002</v>
      </c>
      <c r="S455" s="913">
        <f t="shared" si="46"/>
        <v>2</v>
      </c>
    </row>
    <row r="456" spans="1:19" x14ac:dyDescent="0.2">
      <c r="A456" s="11">
        <f t="shared" si="47"/>
        <v>454</v>
      </c>
      <c r="B456" s="11">
        <v>3.0196207463549998</v>
      </c>
      <c r="C456" s="11">
        <v>1.8550998061562003</v>
      </c>
      <c r="D456" s="11">
        <v>5.4534685233975297</v>
      </c>
      <c r="E456" s="11">
        <v>30.558917910435969</v>
      </c>
      <c r="F456" s="11"/>
      <c r="G456" s="11">
        <v>40.887106986344698</v>
      </c>
      <c r="H456" s="11"/>
      <c r="I456" s="914">
        <f>+SUM(B457:B$501)</f>
        <v>147.01063022317743</v>
      </c>
      <c r="J456" s="914">
        <f>+SUM(C457:C$501)</f>
        <v>110.15017961152304</v>
      </c>
      <c r="K456" s="914">
        <f t="shared" si="42"/>
        <v>257.16080983470044</v>
      </c>
      <c r="L456" s="914">
        <f>+SUM(D457:D$501)</f>
        <v>96.899574496001549</v>
      </c>
      <c r="M456" s="914">
        <f>+SUM(E457:E$501)</f>
        <v>1088.5001300942308</v>
      </c>
      <c r="N456" s="914">
        <f>+SUM(F457:F$501)</f>
        <v>14.676988938246001</v>
      </c>
      <c r="O456" s="914">
        <f>+SUM(G457:G$501)</f>
        <v>1457.2375033631793</v>
      </c>
      <c r="P456" s="11">
        <f t="shared" si="43"/>
        <v>30.558917910435969</v>
      </c>
      <c r="Q456" s="913">
        <f t="shared" si="44"/>
        <v>0</v>
      </c>
      <c r="R456" s="11">
        <f t="shared" si="45"/>
        <v>0.31749815139100002</v>
      </c>
      <c r="S456" s="913">
        <f t="shared" si="46"/>
        <v>1</v>
      </c>
    </row>
    <row r="457" spans="1:19" x14ac:dyDescent="0.2">
      <c r="A457" s="11">
        <f t="shared" si="47"/>
        <v>455</v>
      </c>
      <c r="B457" s="11">
        <v>3.0782294629177995</v>
      </c>
      <c r="C457" s="11">
        <v>1.7589697251304488</v>
      </c>
      <c r="D457" s="11">
        <v>3.9089581242209999</v>
      </c>
      <c r="E457" s="11">
        <v>31.632351345046501</v>
      </c>
      <c r="F457" s="11">
        <v>0.31749815139100002</v>
      </c>
      <c r="G457" s="11">
        <v>40.696006808706748</v>
      </c>
      <c r="H457" s="11"/>
      <c r="I457" s="914">
        <f>+SUM(B458:B$501)</f>
        <v>143.93240076025961</v>
      </c>
      <c r="J457" s="914">
        <f>+SUM(C458:C$501)</f>
        <v>108.39120988639259</v>
      </c>
      <c r="K457" s="914">
        <f t="shared" si="42"/>
        <v>252.32361064665218</v>
      </c>
      <c r="L457" s="914">
        <f>+SUM(D458:D$501)</f>
        <v>92.990616371780533</v>
      </c>
      <c r="M457" s="914">
        <f>+SUM(E458:E$501)</f>
        <v>1056.8677787491843</v>
      </c>
      <c r="N457" s="914">
        <f>+SUM(F458:F$501)</f>
        <v>14.359490786855002</v>
      </c>
      <c r="O457" s="914">
        <f>+SUM(G458:G$501)</f>
        <v>1416.5414965544724</v>
      </c>
      <c r="P457" s="11">
        <f t="shared" si="43"/>
        <v>31.632351345046501</v>
      </c>
      <c r="Q457" s="913">
        <f t="shared" si="44"/>
        <v>0</v>
      </c>
      <c r="R457" s="11">
        <f t="shared" si="45"/>
        <v>0.31749815139100002</v>
      </c>
      <c r="S457" s="913">
        <f t="shared" si="46"/>
        <v>0</v>
      </c>
    </row>
    <row r="458" spans="1:19" x14ac:dyDescent="0.2">
      <c r="A458" s="11">
        <f t="shared" si="47"/>
        <v>456</v>
      </c>
      <c r="B458" s="11">
        <v>4.5071301558841004</v>
      </c>
      <c r="C458" s="11">
        <v>3.9470675919110003</v>
      </c>
      <c r="D458" s="11">
        <v>1.4261297008810001</v>
      </c>
      <c r="E458" s="11">
        <v>28.3839859785508</v>
      </c>
      <c r="F458" s="11">
        <v>2.4626448940599999</v>
      </c>
      <c r="G458" s="11">
        <v>40.726958321286901</v>
      </c>
      <c r="H458" s="11"/>
      <c r="I458" s="914">
        <f>+SUM(B459:B$501)</f>
        <v>139.42527060437553</v>
      </c>
      <c r="J458" s="914">
        <f>+SUM(C459:C$501)</f>
        <v>104.44414229448159</v>
      </c>
      <c r="K458" s="914">
        <f t="shared" si="42"/>
        <v>243.86941289885712</v>
      </c>
      <c r="L458" s="914">
        <f>+SUM(D459:D$501)</f>
        <v>91.564486670899555</v>
      </c>
      <c r="M458" s="914">
        <f>+SUM(E459:E$501)</f>
        <v>1028.4837927706335</v>
      </c>
      <c r="N458" s="914">
        <f>+SUM(F459:F$501)</f>
        <v>11.896845892795001</v>
      </c>
      <c r="O458" s="914">
        <f>+SUM(G459:G$501)</f>
        <v>1375.8145382331854</v>
      </c>
      <c r="P458" s="11">
        <f t="shared" si="43"/>
        <v>28.3839859785508</v>
      </c>
      <c r="Q458" s="913">
        <f t="shared" si="44"/>
        <v>0</v>
      </c>
      <c r="R458" s="11">
        <f t="shared" si="45"/>
        <v>2.4626448940599999</v>
      </c>
      <c r="S458" s="913">
        <f t="shared" si="46"/>
        <v>0</v>
      </c>
    </row>
    <row r="459" spans="1:19" x14ac:dyDescent="0.2">
      <c r="A459" s="11">
        <f t="shared" si="47"/>
        <v>457</v>
      </c>
      <c r="B459" s="11">
        <v>5.6362829791650002</v>
      </c>
      <c r="C459" s="11">
        <v>3.7470604233725</v>
      </c>
      <c r="D459" s="11">
        <v>3.5350243899939997</v>
      </c>
      <c r="E459" s="11">
        <v>20.744393252887502</v>
      </c>
      <c r="F459" s="11">
        <v>7.0719615736600003</v>
      </c>
      <c r="G459" s="11">
        <v>40.734722619079001</v>
      </c>
      <c r="H459" s="11"/>
      <c r="I459" s="914">
        <f>+SUM(B460:B$501)</f>
        <v>133.78898762521052</v>
      </c>
      <c r="J459" s="914">
        <f>+SUM(C460:C$501)</f>
        <v>100.69708187110909</v>
      </c>
      <c r="K459" s="914">
        <f t="shared" si="42"/>
        <v>234.4860694963196</v>
      </c>
      <c r="L459" s="914">
        <f>+SUM(D460:D$501)</f>
        <v>88.029462280905534</v>
      </c>
      <c r="M459" s="914">
        <f>+SUM(E460:E$501)</f>
        <v>1007.7393995177462</v>
      </c>
      <c r="N459" s="914">
        <f>+SUM(F460:F$501)</f>
        <v>4.8248843191350002</v>
      </c>
      <c r="O459" s="914">
        <f>+SUM(G460:G$501)</f>
        <v>1335.0798156141066</v>
      </c>
      <c r="P459" s="11">
        <f t="shared" si="43"/>
        <v>20.744393252887502</v>
      </c>
      <c r="Q459" s="913">
        <f t="shared" si="44"/>
        <v>0</v>
      </c>
      <c r="R459" s="11">
        <f t="shared" si="45"/>
        <v>7.0719615736600003</v>
      </c>
      <c r="S459" s="913">
        <f t="shared" si="46"/>
        <v>0</v>
      </c>
    </row>
    <row r="460" spans="1:19" x14ac:dyDescent="0.2">
      <c r="A460" s="11">
        <f t="shared" si="47"/>
        <v>458</v>
      </c>
      <c r="B460" s="11">
        <v>3.9139306596812702</v>
      </c>
      <c r="C460" s="11">
        <v>1.3938882532541002</v>
      </c>
      <c r="D460" s="11">
        <v>8.6332221247454992</v>
      </c>
      <c r="E460" s="11">
        <v>22.531277937079697</v>
      </c>
      <c r="F460" s="11">
        <v>2.6975257947400002</v>
      </c>
      <c r="G460" s="11">
        <v>39.169844769500571</v>
      </c>
      <c r="H460" s="11"/>
      <c r="I460" s="914">
        <f>+SUM(B461:B$501)</f>
        <v>129.87505696552924</v>
      </c>
      <c r="J460" s="914">
        <f>+SUM(C461:C$501)</f>
        <v>99.303193617854987</v>
      </c>
      <c r="K460" s="914">
        <f t="shared" si="42"/>
        <v>229.17825058338423</v>
      </c>
      <c r="L460" s="914">
        <f>+SUM(D461:D$501)</f>
        <v>79.396240156160047</v>
      </c>
      <c r="M460" s="914">
        <f>+SUM(E461:E$501)</f>
        <v>985.20812158066644</v>
      </c>
      <c r="N460" s="914">
        <f>+SUM(F461:F$501)</f>
        <v>2.127358524395</v>
      </c>
      <c r="O460" s="914">
        <f>+SUM(G461:G$501)</f>
        <v>1295.9099708446058</v>
      </c>
      <c r="P460" s="11">
        <f t="shared" si="43"/>
        <v>22.531277937079697</v>
      </c>
      <c r="Q460" s="913">
        <f t="shared" si="44"/>
        <v>0</v>
      </c>
      <c r="R460" s="11">
        <f t="shared" si="45"/>
        <v>2.6975257947400002</v>
      </c>
      <c r="S460" s="913">
        <f t="shared" si="46"/>
        <v>0</v>
      </c>
    </row>
    <row r="461" spans="1:19" x14ac:dyDescent="0.2">
      <c r="A461" s="11">
        <f t="shared" si="47"/>
        <v>459</v>
      </c>
      <c r="B461" s="11">
        <v>3.7703785604110003</v>
      </c>
      <c r="C461" s="11">
        <v>0.99726924070800005</v>
      </c>
      <c r="D461" s="11">
        <v>12.482442464820531</v>
      </c>
      <c r="E461" s="11">
        <v>21.423017131390996</v>
      </c>
      <c r="F461" s="11">
        <v>0.348328419409</v>
      </c>
      <c r="G461" s="11">
        <v>39.021435816739526</v>
      </c>
      <c r="H461" s="11"/>
      <c r="I461" s="914">
        <f>+SUM(B462:B$501)</f>
        <v>126.10467840511825</v>
      </c>
      <c r="J461" s="914">
        <f>+SUM(C462:C$501)</f>
        <v>98.305924377146994</v>
      </c>
      <c r="K461" s="914">
        <f t="shared" si="42"/>
        <v>224.41060278226524</v>
      </c>
      <c r="L461" s="914">
        <f>+SUM(D462:D$501)</f>
        <v>66.913797691339511</v>
      </c>
      <c r="M461" s="914">
        <f>+SUM(E462:E$501)</f>
        <v>963.78510444927531</v>
      </c>
      <c r="N461" s="914">
        <f>+SUM(F462:F$501)</f>
        <v>1.779030104986</v>
      </c>
      <c r="O461" s="914">
        <f>+SUM(G462:G$501)</f>
        <v>1256.8885350278663</v>
      </c>
      <c r="P461" s="11">
        <f t="shared" si="43"/>
        <v>21.423017131390996</v>
      </c>
      <c r="Q461" s="913">
        <f t="shared" si="44"/>
        <v>0</v>
      </c>
      <c r="R461" s="11">
        <f t="shared" si="45"/>
        <v>0.348328419409</v>
      </c>
      <c r="S461" s="913">
        <f t="shared" si="46"/>
        <v>0</v>
      </c>
    </row>
    <row r="462" spans="1:19" x14ac:dyDescent="0.2">
      <c r="A462" s="11">
        <f t="shared" si="47"/>
        <v>460</v>
      </c>
      <c r="B462" s="11">
        <v>3.0725401406331194</v>
      </c>
      <c r="C462" s="11">
        <v>0.55938048453</v>
      </c>
      <c r="D462" s="11">
        <v>11.084332470082998</v>
      </c>
      <c r="E462" s="11">
        <v>24.012717138194599</v>
      </c>
      <c r="F462" s="11"/>
      <c r="G462" s="11">
        <v>38.72897023344072</v>
      </c>
      <c r="H462" s="11"/>
      <c r="I462" s="914">
        <f>+SUM(B463:B$501)</f>
        <v>123.03213826448513</v>
      </c>
      <c r="J462" s="914">
        <f>+SUM(C463:C$501)</f>
        <v>97.746543892616998</v>
      </c>
      <c r="K462" s="914">
        <f t="shared" si="42"/>
        <v>220.77868215710214</v>
      </c>
      <c r="L462" s="914">
        <f>+SUM(D463:D$501)</f>
        <v>55.829465221256527</v>
      </c>
      <c r="M462" s="914">
        <f>+SUM(E463:E$501)</f>
        <v>939.77238731108071</v>
      </c>
      <c r="N462" s="914">
        <f>+SUM(F463:F$501)</f>
        <v>1.779030104986</v>
      </c>
      <c r="O462" s="914">
        <f>+SUM(G463:G$501)</f>
        <v>1218.1595647944257</v>
      </c>
      <c r="P462" s="11">
        <f t="shared" si="43"/>
        <v>24.012717138194599</v>
      </c>
      <c r="Q462" s="913">
        <f t="shared" si="44"/>
        <v>0</v>
      </c>
      <c r="R462" s="11">
        <f t="shared" si="45"/>
        <v>0.943506487555</v>
      </c>
      <c r="S462" s="913">
        <f t="shared" si="46"/>
        <v>1</v>
      </c>
    </row>
    <row r="463" spans="1:19" x14ac:dyDescent="0.2">
      <c r="A463" s="11">
        <f t="shared" si="47"/>
        <v>461</v>
      </c>
      <c r="B463" s="11">
        <v>3.7426125017681002</v>
      </c>
      <c r="C463" s="11">
        <v>1.1023283861199999</v>
      </c>
      <c r="D463" s="11">
        <v>8.4516201768811019</v>
      </c>
      <c r="E463" s="11">
        <v>24.13553300202436</v>
      </c>
      <c r="F463" s="11">
        <v>0.943506487555</v>
      </c>
      <c r="G463" s="11">
        <v>38.375600554348559</v>
      </c>
      <c r="H463" s="11"/>
      <c r="I463" s="914">
        <f>+SUM(B464:B$501)</f>
        <v>119.28952576271701</v>
      </c>
      <c r="J463" s="914">
        <f>+SUM(C464:C$501)</f>
        <v>96.644215506496991</v>
      </c>
      <c r="K463" s="914">
        <f t="shared" si="42"/>
        <v>215.93374126921401</v>
      </c>
      <c r="L463" s="914">
        <f>+SUM(D464:D$501)</f>
        <v>47.37784504437542</v>
      </c>
      <c r="M463" s="914">
        <f>+SUM(E464:E$501)</f>
        <v>915.6368543090565</v>
      </c>
      <c r="N463" s="914">
        <f>+SUM(F464:F$501)</f>
        <v>0.83552361743100001</v>
      </c>
      <c r="O463" s="914">
        <f>+SUM(G464:G$501)</f>
        <v>1179.783964240077</v>
      </c>
      <c r="P463" s="11">
        <f t="shared" si="43"/>
        <v>24.13553300202436</v>
      </c>
      <c r="Q463" s="913">
        <f t="shared" si="44"/>
        <v>0</v>
      </c>
      <c r="R463" s="11">
        <f t="shared" si="45"/>
        <v>0.943506487555</v>
      </c>
      <c r="S463" s="913">
        <f t="shared" si="46"/>
        <v>0</v>
      </c>
    </row>
    <row r="464" spans="1:19" x14ac:dyDescent="0.2">
      <c r="A464" s="11">
        <f t="shared" si="47"/>
        <v>462</v>
      </c>
      <c r="B464" s="11">
        <v>2.1101506250637598</v>
      </c>
      <c r="C464" s="11">
        <v>3.750716548218</v>
      </c>
      <c r="D464" s="11">
        <v>5.7363498741120003</v>
      </c>
      <c r="E464" s="11">
        <v>25.517056715181997</v>
      </c>
      <c r="F464" s="11">
        <v>0.83552361743100001</v>
      </c>
      <c r="G464" s="11">
        <v>37.949797380006757</v>
      </c>
      <c r="H464" s="11"/>
      <c r="I464" s="914">
        <f>+SUM(B465:B$501)</f>
        <v>117.17937513765327</v>
      </c>
      <c r="J464" s="914">
        <f>+SUM(C465:C$501)</f>
        <v>92.893498958278997</v>
      </c>
      <c r="K464" s="914">
        <f t="shared" si="42"/>
        <v>210.07287409593226</v>
      </c>
      <c r="L464" s="914">
        <f>+SUM(D465:D$501)</f>
        <v>41.641495170263433</v>
      </c>
      <c r="M464" s="914">
        <f>+SUM(E465:E$501)</f>
        <v>890.1197975938743</v>
      </c>
      <c r="N464" s="914">
        <f>+SUM(F465:F$501)</f>
        <v>0</v>
      </c>
      <c r="O464" s="914">
        <f>+SUM(G465:G$501)</f>
        <v>1141.8341668600704</v>
      </c>
      <c r="P464" s="11">
        <f t="shared" si="43"/>
        <v>25.517056715181997</v>
      </c>
      <c r="Q464" s="913">
        <f t="shared" si="44"/>
        <v>0</v>
      </c>
      <c r="R464" s="11">
        <f t="shared" si="45"/>
        <v>0.83552361743100001</v>
      </c>
      <c r="S464" s="913">
        <f t="shared" si="46"/>
        <v>0</v>
      </c>
    </row>
    <row r="465" spans="1:19" x14ac:dyDescent="0.2">
      <c r="A465" s="11">
        <f t="shared" si="47"/>
        <v>463</v>
      </c>
      <c r="B465" s="11">
        <v>4.4813460417637998</v>
      </c>
      <c r="C465" s="11">
        <v>5.2197073249169197</v>
      </c>
      <c r="D465" s="11">
        <v>6.3290159217060999</v>
      </c>
      <c r="E465" s="11">
        <v>21.068438455011201</v>
      </c>
      <c r="F465" s="11"/>
      <c r="G465" s="11">
        <v>37.098507743398017</v>
      </c>
      <c r="H465" s="11"/>
      <c r="I465" s="914">
        <f>+SUM(B466:B$501)</f>
        <v>112.69802909588947</v>
      </c>
      <c r="J465" s="914">
        <f>+SUM(C466:C$501)</f>
        <v>87.673791633362072</v>
      </c>
      <c r="K465" s="914">
        <f t="shared" si="42"/>
        <v>200.37182072925154</v>
      </c>
      <c r="L465" s="914">
        <f>+SUM(D466:D$501)</f>
        <v>35.312479248557331</v>
      </c>
      <c r="M465" s="914">
        <f>+SUM(E466:E$501)</f>
        <v>869.05135913886318</v>
      </c>
      <c r="N465" s="914">
        <f>+SUM(F466:F$501)</f>
        <v>0</v>
      </c>
      <c r="O465" s="914">
        <f>+SUM(G466:G$501)</f>
        <v>1104.7356591166722</v>
      </c>
      <c r="P465" s="11">
        <f t="shared" si="43"/>
        <v>21.068438455011201</v>
      </c>
      <c r="Q465" s="913">
        <f t="shared" si="44"/>
        <v>0</v>
      </c>
      <c r="R465" s="11">
        <f t="shared" si="45"/>
        <v>0</v>
      </c>
      <c r="S465" s="913">
        <f t="shared" si="46"/>
        <v>37</v>
      </c>
    </row>
    <row r="466" spans="1:19" x14ac:dyDescent="0.2">
      <c r="A466" s="11">
        <f t="shared" si="47"/>
        <v>464</v>
      </c>
      <c r="B466" s="11">
        <v>4.8200862713863994</v>
      </c>
      <c r="C466" s="11">
        <v>3.6420515339670003</v>
      </c>
      <c r="D466" s="11">
        <v>9.073538534531151</v>
      </c>
      <c r="E466" s="11">
        <v>19.487317658525402</v>
      </c>
      <c r="F466" s="11"/>
      <c r="G466" s="11">
        <v>37.022993998409959</v>
      </c>
      <c r="H466" s="11"/>
      <c r="I466" s="914">
        <f>+SUM(B467:B$501)</f>
        <v>107.87794282450307</v>
      </c>
      <c r="J466" s="914">
        <f>+SUM(C467:C$501)</f>
        <v>84.03174009939508</v>
      </c>
      <c r="K466" s="914">
        <f t="shared" si="42"/>
        <v>191.90968292389815</v>
      </c>
      <c r="L466" s="914">
        <f>+SUM(D467:D$501)</f>
        <v>26.238940714026175</v>
      </c>
      <c r="M466" s="914">
        <f>+SUM(E467:E$501)</f>
        <v>849.56404148033778</v>
      </c>
      <c r="N466" s="914">
        <f>+SUM(F467:F$501)</f>
        <v>0</v>
      </c>
      <c r="O466" s="914">
        <f>+SUM(G467:G$501)</f>
        <v>1067.7126651182623</v>
      </c>
      <c r="P466" s="11">
        <f t="shared" si="43"/>
        <v>19.487317658525402</v>
      </c>
      <c r="Q466" s="913">
        <f t="shared" si="44"/>
        <v>0</v>
      </c>
      <c r="R466" s="11">
        <f t="shared" si="45"/>
        <v>0</v>
      </c>
      <c r="S466" s="913">
        <f t="shared" si="46"/>
        <v>36</v>
      </c>
    </row>
    <row r="467" spans="1:19" x14ac:dyDescent="0.2">
      <c r="A467" s="11">
        <f t="shared" si="47"/>
        <v>465</v>
      </c>
      <c r="B467" s="11">
        <v>5.2641315393980008</v>
      </c>
      <c r="C467" s="11">
        <v>4.4232888561120998</v>
      </c>
      <c r="D467" s="11">
        <v>6.6550922298080994</v>
      </c>
      <c r="E467" s="11">
        <v>19.235873372187534</v>
      </c>
      <c r="F467" s="11"/>
      <c r="G467" s="11">
        <v>35.578385997505734</v>
      </c>
      <c r="H467" s="11"/>
      <c r="I467" s="914">
        <f>+SUM(B468:B$501)</f>
        <v>102.61381128510507</v>
      </c>
      <c r="J467" s="914">
        <f>+SUM(C468:C$501)</f>
        <v>79.608451243282985</v>
      </c>
      <c r="K467" s="914">
        <f t="shared" si="42"/>
        <v>182.22226252838806</v>
      </c>
      <c r="L467" s="914">
        <f>+SUM(D468:D$501)</f>
        <v>19.583848484218063</v>
      </c>
      <c r="M467" s="914">
        <f>+SUM(E468:E$501)</f>
        <v>830.32816810815018</v>
      </c>
      <c r="N467" s="914">
        <f>+SUM(F468:F$501)</f>
        <v>0</v>
      </c>
      <c r="O467" s="914">
        <f>+SUM(G468:G$501)</f>
        <v>1032.1342791207564</v>
      </c>
      <c r="P467" s="11">
        <f t="shared" si="43"/>
        <v>19.235873372187534</v>
      </c>
      <c r="Q467" s="913">
        <f t="shared" si="44"/>
        <v>0</v>
      </c>
      <c r="R467" s="11">
        <f t="shared" si="45"/>
        <v>0</v>
      </c>
      <c r="S467" s="913">
        <f t="shared" si="46"/>
        <v>35</v>
      </c>
    </row>
    <row r="468" spans="1:19" x14ac:dyDescent="0.2">
      <c r="A468" s="11">
        <f t="shared" si="47"/>
        <v>466</v>
      </c>
      <c r="B468" s="11">
        <v>2.8813915220555599</v>
      </c>
      <c r="C468" s="11">
        <v>5.3745197878281523</v>
      </c>
      <c r="D468" s="11">
        <v>4.588965287722</v>
      </c>
      <c r="E468" s="11">
        <v>22.296281717250501</v>
      </c>
      <c r="F468" s="11"/>
      <c r="G468" s="11">
        <v>35.141158314856213</v>
      </c>
      <c r="H468" s="11"/>
      <c r="I468" s="914">
        <f>+SUM(B469:B$501)</f>
        <v>99.732419763049506</v>
      </c>
      <c r="J468" s="914">
        <f>+SUM(C469:C$501)</f>
        <v>74.233931455454822</v>
      </c>
      <c r="K468" s="914">
        <f t="shared" si="42"/>
        <v>173.96635121850431</v>
      </c>
      <c r="L468" s="914">
        <f>+SUM(D469:D$501)</f>
        <v>14.994883196496069</v>
      </c>
      <c r="M468" s="914">
        <f>+SUM(E469:E$501)</f>
        <v>808.03188639089979</v>
      </c>
      <c r="N468" s="914">
        <f>+SUM(F469:F$501)</f>
        <v>0</v>
      </c>
      <c r="O468" s="914">
        <f>+SUM(G469:G$501)</f>
        <v>996.99312080590028</v>
      </c>
      <c r="P468" s="11">
        <f t="shared" si="43"/>
        <v>22.296281717250501</v>
      </c>
      <c r="Q468" s="913">
        <f t="shared" si="44"/>
        <v>0</v>
      </c>
      <c r="R468" s="11">
        <f t="shared" si="45"/>
        <v>0</v>
      </c>
      <c r="S468" s="913">
        <f t="shared" si="46"/>
        <v>34</v>
      </c>
    </row>
    <row r="469" spans="1:19" x14ac:dyDescent="0.2">
      <c r="A469" s="11">
        <f t="shared" si="47"/>
        <v>467</v>
      </c>
      <c r="B469" s="11">
        <v>5.8124400433160002</v>
      </c>
      <c r="C469" s="11">
        <v>5.4954957618105</v>
      </c>
      <c r="D469" s="11">
        <v>0.87017360058499993</v>
      </c>
      <c r="E469" s="11">
        <v>21.263697845569062</v>
      </c>
      <c r="F469" s="11"/>
      <c r="G469" s="11">
        <v>33.441807251280565</v>
      </c>
      <c r="H469" s="11"/>
      <c r="I469" s="914">
        <f>+SUM(B470:B$501)</f>
        <v>93.919979719733504</v>
      </c>
      <c r="J469" s="914">
        <f>+SUM(C470:C$501)</f>
        <v>68.738435693644306</v>
      </c>
      <c r="K469" s="914">
        <f t="shared" si="42"/>
        <v>162.65841541337781</v>
      </c>
      <c r="L469" s="914">
        <f>+SUM(D470:D$501)</f>
        <v>14.124709595911069</v>
      </c>
      <c r="M469" s="914">
        <f>+SUM(E470:E$501)</f>
        <v>786.76818854533064</v>
      </c>
      <c r="N469" s="914">
        <f>+SUM(F470:F$501)</f>
        <v>0</v>
      </c>
      <c r="O469" s="914">
        <f>+SUM(G470:G$501)</f>
        <v>963.5513135546197</v>
      </c>
      <c r="P469" s="11">
        <f t="shared" si="43"/>
        <v>21.263697845569062</v>
      </c>
      <c r="Q469" s="913">
        <f t="shared" si="44"/>
        <v>0</v>
      </c>
      <c r="R469" s="11">
        <f t="shared" si="45"/>
        <v>0</v>
      </c>
      <c r="S469" s="913">
        <f t="shared" si="46"/>
        <v>33</v>
      </c>
    </row>
    <row r="470" spans="1:19" x14ac:dyDescent="0.2">
      <c r="A470" s="11">
        <f t="shared" si="47"/>
        <v>468</v>
      </c>
      <c r="B470" s="11">
        <v>3.925985433827206</v>
      </c>
      <c r="C470" s="11">
        <v>4.8918622472800006</v>
      </c>
      <c r="D470" s="11">
        <v>0.56339373146799998</v>
      </c>
      <c r="E470" s="11">
        <v>22.298593098926904</v>
      </c>
      <c r="F470" s="11"/>
      <c r="G470" s="11">
        <v>31.679834511502111</v>
      </c>
      <c r="H470" s="11"/>
      <c r="I470" s="914">
        <f>+SUM(B471:B$501)</f>
        <v>89.993994285906297</v>
      </c>
      <c r="J470" s="914">
        <f>+SUM(C471:C$501)</f>
        <v>63.84657344636431</v>
      </c>
      <c r="K470" s="914">
        <f t="shared" si="42"/>
        <v>153.84056773227061</v>
      </c>
      <c r="L470" s="914">
        <f>+SUM(D471:D$501)</f>
        <v>13.56131586444307</v>
      </c>
      <c r="M470" s="914">
        <f>+SUM(E471:E$501)</f>
        <v>764.46959544640379</v>
      </c>
      <c r="N470" s="914">
        <f>+SUM(F471:F$501)</f>
        <v>0</v>
      </c>
      <c r="O470" s="914">
        <f>+SUM(G471:G$501)</f>
        <v>931.87147904311757</v>
      </c>
      <c r="P470" s="11">
        <f t="shared" si="43"/>
        <v>22.298593098926904</v>
      </c>
      <c r="Q470" s="913">
        <f t="shared" si="44"/>
        <v>0</v>
      </c>
      <c r="R470" s="11">
        <f t="shared" si="45"/>
        <v>0</v>
      </c>
      <c r="S470" s="913">
        <f t="shared" si="46"/>
        <v>32</v>
      </c>
    </row>
    <row r="471" spans="1:19" x14ac:dyDescent="0.2">
      <c r="A471" s="11">
        <f t="shared" si="47"/>
        <v>469</v>
      </c>
      <c r="B471" s="11">
        <v>0.93402126788270001</v>
      </c>
      <c r="C471" s="11">
        <v>2.6813253141</v>
      </c>
      <c r="D471" s="11">
        <v>2.1446857313500001</v>
      </c>
      <c r="E471" s="11">
        <v>24.561703777263499</v>
      </c>
      <c r="F471" s="11"/>
      <c r="G471" s="11">
        <v>30.3217360905962</v>
      </c>
      <c r="H471" s="11"/>
      <c r="I471" s="914">
        <f>+SUM(B472:B$501)</f>
        <v>89.059973018023584</v>
      </c>
      <c r="J471" s="914">
        <f>+SUM(C472:C$501)</f>
        <v>61.165248132264317</v>
      </c>
      <c r="K471" s="914">
        <f t="shared" si="42"/>
        <v>150.22522115028789</v>
      </c>
      <c r="L471" s="914">
        <f>+SUM(D472:D$501)</f>
        <v>11.41663013309307</v>
      </c>
      <c r="M471" s="914">
        <f>+SUM(E472:E$501)</f>
        <v>739.90789166914044</v>
      </c>
      <c r="N471" s="914">
        <f>+SUM(F472:F$501)</f>
        <v>0</v>
      </c>
      <c r="O471" s="914">
        <f>+SUM(G472:G$501)</f>
        <v>901.54974295252134</v>
      </c>
      <c r="P471" s="11">
        <f t="shared" si="43"/>
        <v>24.561703777263499</v>
      </c>
      <c r="Q471" s="913">
        <f t="shared" si="44"/>
        <v>0</v>
      </c>
      <c r="R471" s="11">
        <f t="shared" si="45"/>
        <v>0</v>
      </c>
      <c r="S471" s="913">
        <f t="shared" si="46"/>
        <v>31</v>
      </c>
    </row>
    <row r="472" spans="1:19" x14ac:dyDescent="0.2">
      <c r="A472" s="11">
        <f t="shared" si="47"/>
        <v>470</v>
      </c>
      <c r="B472" s="11">
        <v>1.03046886804</v>
      </c>
      <c r="C472" s="11">
        <v>1.2233236197802</v>
      </c>
      <c r="D472" s="11">
        <v>1.1971106288710001</v>
      </c>
      <c r="E472" s="11">
        <v>25.915642791320003</v>
      </c>
      <c r="F472" s="11"/>
      <c r="G472" s="11">
        <v>29.366545908011204</v>
      </c>
      <c r="H472" s="11"/>
      <c r="I472" s="914">
        <f>+SUM(B473:B$501)</f>
        <v>88.02950414998358</v>
      </c>
      <c r="J472" s="914">
        <f>+SUM(C473:C$501)</f>
        <v>59.941924512484114</v>
      </c>
      <c r="K472" s="914">
        <f t="shared" si="42"/>
        <v>147.9714286624677</v>
      </c>
      <c r="L472" s="914">
        <f>+SUM(D473:D$501)</f>
        <v>10.21951950422207</v>
      </c>
      <c r="M472" s="914">
        <f>+SUM(E473:E$501)</f>
        <v>713.99224887782043</v>
      </c>
      <c r="N472" s="914">
        <f>+SUM(F473:F$501)</f>
        <v>0</v>
      </c>
      <c r="O472" s="914">
        <f>+SUM(G473:G$501)</f>
        <v>872.18319704451017</v>
      </c>
      <c r="P472" s="11">
        <f t="shared" si="43"/>
        <v>25.915642791320003</v>
      </c>
      <c r="Q472" s="913">
        <f t="shared" si="44"/>
        <v>0</v>
      </c>
      <c r="R472" s="11">
        <f t="shared" si="45"/>
        <v>0</v>
      </c>
      <c r="S472" s="913">
        <f t="shared" si="46"/>
        <v>30</v>
      </c>
    </row>
    <row r="473" spans="1:19" x14ac:dyDescent="0.2">
      <c r="A473" s="11">
        <f t="shared" si="47"/>
        <v>471</v>
      </c>
      <c r="B473" s="11">
        <v>1.5359993632340001</v>
      </c>
      <c r="C473" s="11">
        <v>1.05282955829</v>
      </c>
      <c r="D473" s="11">
        <v>9.7631408429400005E-2</v>
      </c>
      <c r="E473" s="11">
        <v>26.728829688447597</v>
      </c>
      <c r="F473" s="11"/>
      <c r="G473" s="11">
        <v>29.415290018400995</v>
      </c>
      <c r="H473" s="11"/>
      <c r="I473" s="914">
        <f>+SUM(B474:B$501)</f>
        <v>86.493504786749583</v>
      </c>
      <c r="J473" s="914">
        <f>+SUM(C474:C$501)</f>
        <v>58.889094954194114</v>
      </c>
      <c r="K473" s="914">
        <f t="shared" si="42"/>
        <v>145.3825997409437</v>
      </c>
      <c r="L473" s="914">
        <f>+SUM(D474:D$501)</f>
        <v>10.12188809579267</v>
      </c>
      <c r="M473" s="914">
        <f>+SUM(E474:E$501)</f>
        <v>687.26341918937283</v>
      </c>
      <c r="N473" s="914">
        <f>+SUM(F474:F$501)</f>
        <v>0</v>
      </c>
      <c r="O473" s="914">
        <f>+SUM(G474:G$501)</f>
        <v>842.76790702610913</v>
      </c>
      <c r="P473" s="11">
        <f t="shared" si="43"/>
        <v>26.728829688447597</v>
      </c>
      <c r="Q473" s="913">
        <f t="shared" si="44"/>
        <v>0</v>
      </c>
      <c r="R473" s="11">
        <f t="shared" si="45"/>
        <v>0</v>
      </c>
      <c r="S473" s="913">
        <f t="shared" si="46"/>
        <v>29</v>
      </c>
    </row>
    <row r="474" spans="1:19" x14ac:dyDescent="0.2">
      <c r="A474" s="11">
        <f t="shared" si="47"/>
        <v>472</v>
      </c>
      <c r="B474" s="11">
        <v>0.75775345814000006</v>
      </c>
      <c r="C474" s="11">
        <v>0.46369348811972999</v>
      </c>
      <c r="D474" s="11">
        <v>1.40028488166</v>
      </c>
      <c r="E474" s="11">
        <v>27.878906936488999</v>
      </c>
      <c r="F474" s="11"/>
      <c r="G474" s="11">
        <v>30.500638764408727</v>
      </c>
      <c r="H474" s="11"/>
      <c r="I474" s="914">
        <f>+SUM(B475:B$501)</f>
        <v>85.735751328609581</v>
      </c>
      <c r="J474" s="914">
        <f>+SUM(C475:C$501)</f>
        <v>58.425401466074383</v>
      </c>
      <c r="K474" s="914">
        <f t="shared" si="42"/>
        <v>144.16115279468397</v>
      </c>
      <c r="L474" s="914">
        <f>+SUM(D475:D$501)</f>
        <v>8.7216032141326707</v>
      </c>
      <c r="M474" s="914">
        <f>+SUM(E475:E$501)</f>
        <v>659.38451225288384</v>
      </c>
      <c r="N474" s="914">
        <f>+SUM(F475:F$501)</f>
        <v>0</v>
      </c>
      <c r="O474" s="914">
        <f>+SUM(G475:G$501)</f>
        <v>812.26726826170045</v>
      </c>
      <c r="P474" s="11">
        <f t="shared" si="43"/>
        <v>27.878906936488999</v>
      </c>
      <c r="Q474" s="913">
        <f t="shared" si="44"/>
        <v>0</v>
      </c>
      <c r="R474" s="11">
        <f t="shared" si="45"/>
        <v>0</v>
      </c>
      <c r="S474" s="913">
        <f t="shared" si="46"/>
        <v>28</v>
      </c>
    </row>
    <row r="475" spans="1:19" x14ac:dyDescent="0.2">
      <c r="A475" s="11">
        <f t="shared" si="47"/>
        <v>473</v>
      </c>
      <c r="B475" s="11">
        <v>0.91798044979000004</v>
      </c>
      <c r="C475" s="11">
        <v>2.2560334198000001</v>
      </c>
      <c r="D475" s="11">
        <v>0.91491613778530001</v>
      </c>
      <c r="E475" s="11">
        <v>26.126289395615</v>
      </c>
      <c r="F475" s="11"/>
      <c r="G475" s="11">
        <v>30.2152194029903</v>
      </c>
      <c r="H475" s="11"/>
      <c r="I475" s="914">
        <f>+SUM(B476:B$501)</f>
        <v>84.817770878819601</v>
      </c>
      <c r="J475" s="914">
        <f>+SUM(C476:C$501)</f>
        <v>56.169368046274386</v>
      </c>
      <c r="K475" s="914">
        <f t="shared" si="42"/>
        <v>140.98713892509397</v>
      </c>
      <c r="L475" s="914">
        <f>+SUM(D476:D$501)</f>
        <v>7.8066870763473695</v>
      </c>
      <c r="M475" s="914">
        <f>+SUM(E476:E$501)</f>
        <v>633.25822285726883</v>
      </c>
      <c r="N475" s="914">
        <f>+SUM(F476:F$501)</f>
        <v>0</v>
      </c>
      <c r="O475" s="914">
        <f>+SUM(G476:G$501)</f>
        <v>782.05204885871001</v>
      </c>
      <c r="P475" s="11">
        <f t="shared" si="43"/>
        <v>26.126289395615</v>
      </c>
      <c r="Q475" s="913">
        <f t="shared" si="44"/>
        <v>0</v>
      </c>
      <c r="R475" s="11">
        <f t="shared" si="45"/>
        <v>0</v>
      </c>
      <c r="S475" s="913">
        <f t="shared" si="46"/>
        <v>27</v>
      </c>
    </row>
    <row r="476" spans="1:19" x14ac:dyDescent="0.2">
      <c r="A476" s="11">
        <f t="shared" si="47"/>
        <v>474</v>
      </c>
      <c r="B476" s="11">
        <v>1.5181135436805002</v>
      </c>
      <c r="C476" s="11">
        <v>1.45416944183</v>
      </c>
      <c r="D476" s="11">
        <v>0.86873127894799995</v>
      </c>
      <c r="E476" s="11">
        <v>25.936687966051437</v>
      </c>
      <c r="F476" s="11"/>
      <c r="G476" s="11">
        <v>29.777702230509938</v>
      </c>
      <c r="H476" s="11"/>
      <c r="I476" s="914">
        <f>+SUM(B477:B$501)</f>
        <v>83.299657335139102</v>
      </c>
      <c r="J476" s="914">
        <f>+SUM(C477:C$501)</f>
        <v>54.715198604444389</v>
      </c>
      <c r="K476" s="914">
        <f t="shared" si="42"/>
        <v>138.0148559395835</v>
      </c>
      <c r="L476" s="914">
        <f>+SUM(D477:D$501)</f>
        <v>6.9379557973993702</v>
      </c>
      <c r="M476" s="914">
        <f>+SUM(E477:E$501)</f>
        <v>607.32153489121742</v>
      </c>
      <c r="N476" s="914">
        <f>+SUM(F477:F$501)</f>
        <v>0</v>
      </c>
      <c r="O476" s="914">
        <f>+SUM(G477:G$501)</f>
        <v>752.27434662820008</v>
      </c>
      <c r="P476" s="11">
        <f t="shared" si="43"/>
        <v>25.936687966051437</v>
      </c>
      <c r="Q476" s="913">
        <f t="shared" si="44"/>
        <v>0</v>
      </c>
      <c r="R476" s="11">
        <f t="shared" si="45"/>
        <v>0</v>
      </c>
      <c r="S476" s="913">
        <f t="shared" si="46"/>
        <v>26</v>
      </c>
    </row>
    <row r="477" spans="1:19" x14ac:dyDescent="0.2">
      <c r="A477" s="11">
        <f t="shared" si="47"/>
        <v>475</v>
      </c>
      <c r="B477" s="11">
        <v>1.9030495608790001</v>
      </c>
      <c r="C477" s="11">
        <v>1.6566190923037001</v>
      </c>
      <c r="D477" s="11">
        <v>0.72122232578199996</v>
      </c>
      <c r="E477" s="11">
        <v>25.916407039699997</v>
      </c>
      <c r="F477" s="11"/>
      <c r="G477" s="11">
        <v>30.197298018664696</v>
      </c>
      <c r="H477" s="11"/>
      <c r="I477" s="914">
        <f>+SUM(B478:B$501)</f>
        <v>81.396607774260104</v>
      </c>
      <c r="J477" s="914">
        <f>+SUM(C478:C$501)</f>
        <v>53.058579512140682</v>
      </c>
      <c r="K477" s="914">
        <f t="shared" si="42"/>
        <v>134.45518728640079</v>
      </c>
      <c r="L477" s="914">
        <f>+SUM(D478:D$501)</f>
        <v>6.2167334716173697</v>
      </c>
      <c r="M477" s="914">
        <f>+SUM(E478:E$501)</f>
        <v>581.40512785151748</v>
      </c>
      <c r="N477" s="914">
        <f>+SUM(F478:F$501)</f>
        <v>0</v>
      </c>
      <c r="O477" s="914">
        <f>+SUM(G478:G$501)</f>
        <v>722.07704860953538</v>
      </c>
      <c r="P477" s="11">
        <f t="shared" si="43"/>
        <v>25.916407039699997</v>
      </c>
      <c r="Q477" s="913">
        <f t="shared" si="44"/>
        <v>0</v>
      </c>
      <c r="R477" s="11">
        <f t="shared" si="45"/>
        <v>0</v>
      </c>
      <c r="S477" s="913">
        <f t="shared" si="46"/>
        <v>25</v>
      </c>
    </row>
    <row r="478" spans="1:19" x14ac:dyDescent="0.2">
      <c r="A478" s="11">
        <f t="shared" si="47"/>
        <v>476</v>
      </c>
      <c r="B478" s="11">
        <v>1.2733326005800001</v>
      </c>
      <c r="C478" s="11">
        <v>2.3639379078120002</v>
      </c>
      <c r="D478" s="11">
        <v>0.17435178568599999</v>
      </c>
      <c r="E478" s="11">
        <v>26.9145435842</v>
      </c>
      <c r="F478" s="11"/>
      <c r="G478" s="11">
        <v>30.726165878278</v>
      </c>
      <c r="H478" s="11"/>
      <c r="I478" s="914">
        <f>+SUM(B479:B$501)</f>
        <v>80.123275173680099</v>
      </c>
      <c r="J478" s="914">
        <f>+SUM(C479:C$501)</f>
        <v>50.694641604328687</v>
      </c>
      <c r="K478" s="914">
        <f t="shared" si="42"/>
        <v>130.81791677800879</v>
      </c>
      <c r="L478" s="914">
        <f>+SUM(D479:D$501)</f>
        <v>6.0423816859313701</v>
      </c>
      <c r="M478" s="914">
        <f>+SUM(E479:E$501)</f>
        <v>554.49058426731744</v>
      </c>
      <c r="N478" s="914">
        <f>+SUM(F479:F$501)</f>
        <v>0</v>
      </c>
      <c r="O478" s="914">
        <f>+SUM(G479:G$501)</f>
        <v>691.35088273125746</v>
      </c>
      <c r="P478" s="11">
        <f t="shared" si="43"/>
        <v>26.9145435842</v>
      </c>
      <c r="Q478" s="913">
        <f t="shared" si="44"/>
        <v>0</v>
      </c>
      <c r="R478" s="11">
        <f t="shared" si="45"/>
        <v>0</v>
      </c>
      <c r="S478" s="913">
        <f t="shared" si="46"/>
        <v>24</v>
      </c>
    </row>
    <row r="479" spans="1:19" x14ac:dyDescent="0.2">
      <c r="A479" s="11">
        <f t="shared" si="47"/>
        <v>477</v>
      </c>
      <c r="B479" s="11">
        <v>1.57907604419</v>
      </c>
      <c r="C479" s="11">
        <v>2.4747076687179996</v>
      </c>
      <c r="D479" s="11"/>
      <c r="E479" s="11">
        <v>27.293337016715999</v>
      </c>
      <c r="F479" s="11"/>
      <c r="G479" s="11">
        <v>31.347120729623999</v>
      </c>
      <c r="H479" s="11"/>
      <c r="I479" s="914">
        <f>+SUM(B480:B$501)</f>
        <v>78.544199129490096</v>
      </c>
      <c r="J479" s="914">
        <f>+SUM(C480:C$501)</f>
        <v>48.21993393561069</v>
      </c>
      <c r="K479" s="914">
        <f t="shared" si="42"/>
        <v>126.76413306510079</v>
      </c>
      <c r="L479" s="914">
        <f>+SUM(D480:D$501)</f>
        <v>6.0423816859313701</v>
      </c>
      <c r="M479" s="914">
        <f>+SUM(E480:E$501)</f>
        <v>527.19724725060132</v>
      </c>
      <c r="N479" s="914">
        <f>+SUM(F480:F$501)</f>
        <v>0</v>
      </c>
      <c r="O479" s="914">
        <f>+SUM(G480:G$501)</f>
        <v>660.0037620016335</v>
      </c>
      <c r="P479" s="11">
        <f t="shared" si="43"/>
        <v>27.293337016715999</v>
      </c>
      <c r="Q479" s="913">
        <f t="shared" si="44"/>
        <v>0</v>
      </c>
      <c r="R479" s="11">
        <f t="shared" si="45"/>
        <v>0</v>
      </c>
      <c r="S479" s="913">
        <f t="shared" si="46"/>
        <v>23</v>
      </c>
    </row>
    <row r="480" spans="1:19" x14ac:dyDescent="0.2">
      <c r="A480" s="11">
        <f t="shared" si="47"/>
        <v>478</v>
      </c>
      <c r="B480" s="11">
        <v>1.0191331292500001</v>
      </c>
      <c r="C480" s="11">
        <v>2.5459236349799999</v>
      </c>
      <c r="D480" s="11"/>
      <c r="E480" s="11">
        <v>27.709836355428997</v>
      </c>
      <c r="F480" s="11"/>
      <c r="G480" s="11">
        <v>31.274893119658998</v>
      </c>
      <c r="H480" s="11"/>
      <c r="I480" s="914">
        <f>+SUM(B481:B$501)</f>
        <v>77.525066000240088</v>
      </c>
      <c r="J480" s="914">
        <f>+SUM(C481:C$501)</f>
        <v>45.674010300630677</v>
      </c>
      <c r="K480" s="914">
        <f t="shared" si="42"/>
        <v>123.19907630087076</v>
      </c>
      <c r="L480" s="914">
        <f>+SUM(D481:D$501)</f>
        <v>6.0423816859313701</v>
      </c>
      <c r="M480" s="914">
        <f>+SUM(E481:E$501)</f>
        <v>499.48741089517233</v>
      </c>
      <c r="N480" s="914">
        <f>+SUM(F481:F$501)</f>
        <v>0</v>
      </c>
      <c r="O480" s="914">
        <f>+SUM(G481:G$501)</f>
        <v>628.72886888197445</v>
      </c>
      <c r="P480" s="11">
        <f t="shared" si="43"/>
        <v>27.709836355428997</v>
      </c>
      <c r="Q480" s="913">
        <f t="shared" si="44"/>
        <v>0</v>
      </c>
      <c r="R480" s="11">
        <f t="shared" si="45"/>
        <v>0</v>
      </c>
      <c r="S480" s="913">
        <f t="shared" si="46"/>
        <v>22</v>
      </c>
    </row>
    <row r="481" spans="1:19" x14ac:dyDescent="0.2">
      <c r="A481" s="11">
        <f t="shared" si="47"/>
        <v>479</v>
      </c>
      <c r="B481" s="11">
        <v>1.9805243753200001</v>
      </c>
      <c r="C481" s="11">
        <v>2.48673660582</v>
      </c>
      <c r="D481" s="11">
        <v>0.35984691801000002</v>
      </c>
      <c r="E481" s="11">
        <v>25.620088362257</v>
      </c>
      <c r="F481" s="11"/>
      <c r="G481" s="11">
        <v>30.447196261407001</v>
      </c>
      <c r="H481" s="11"/>
      <c r="I481" s="914">
        <f>+SUM(B482:B$501)</f>
        <v>75.5445416249201</v>
      </c>
      <c r="J481" s="914">
        <f>+SUM(C482:C$501)</f>
        <v>43.187273694810678</v>
      </c>
      <c r="K481" s="914">
        <f t="shared" si="42"/>
        <v>118.73181531973077</v>
      </c>
      <c r="L481" s="914">
        <f>+SUM(D482:D$501)</f>
        <v>5.6825347679213687</v>
      </c>
      <c r="M481" s="914">
        <f>+SUM(E482:E$501)</f>
        <v>473.86732253291535</v>
      </c>
      <c r="N481" s="914">
        <f>+SUM(F482:F$501)</f>
        <v>0</v>
      </c>
      <c r="O481" s="914">
        <f>+SUM(G482:G$501)</f>
        <v>598.28167262056752</v>
      </c>
      <c r="P481" s="11">
        <f t="shared" si="43"/>
        <v>25.620088362257</v>
      </c>
      <c r="Q481" s="913">
        <f t="shared" si="44"/>
        <v>0</v>
      </c>
      <c r="R481" s="11">
        <f t="shared" si="45"/>
        <v>0</v>
      </c>
      <c r="S481" s="913">
        <f t="shared" si="46"/>
        <v>21</v>
      </c>
    </row>
    <row r="482" spans="1:19" x14ac:dyDescent="0.2">
      <c r="A482" s="11">
        <f t="shared" si="47"/>
        <v>480</v>
      </c>
      <c r="B482" s="11">
        <v>4.7093033118029997</v>
      </c>
      <c r="C482" s="11">
        <v>2.0859082146530996</v>
      </c>
      <c r="D482" s="11">
        <v>0.57319798229596997</v>
      </c>
      <c r="E482" s="11">
        <v>23.133068671202</v>
      </c>
      <c r="F482" s="11"/>
      <c r="G482" s="11">
        <v>30.50147817995407</v>
      </c>
      <c r="H482" s="11"/>
      <c r="I482" s="914">
        <f>+SUM(B483:B$501)</f>
        <v>70.835238313117088</v>
      </c>
      <c r="J482" s="914">
        <f>+SUM(C483:C$501)</f>
        <v>41.101365480157575</v>
      </c>
      <c r="K482" s="914">
        <f t="shared" si="42"/>
        <v>111.93660379327466</v>
      </c>
      <c r="L482" s="914">
        <f>+SUM(D483:D$501)</f>
        <v>5.1093367856254002</v>
      </c>
      <c r="M482" s="914">
        <f>+SUM(E483:E$501)</f>
        <v>450.7342538617134</v>
      </c>
      <c r="N482" s="914">
        <f>+SUM(F483:F$501)</f>
        <v>0</v>
      </c>
      <c r="O482" s="914">
        <f>+SUM(G483:G$501)</f>
        <v>567.7801944406134</v>
      </c>
      <c r="P482" s="11">
        <f t="shared" si="43"/>
        <v>23.133068671202</v>
      </c>
      <c r="Q482" s="913">
        <f t="shared" si="44"/>
        <v>0</v>
      </c>
      <c r="R482" s="11">
        <f t="shared" si="45"/>
        <v>0</v>
      </c>
      <c r="S482" s="913">
        <f t="shared" si="46"/>
        <v>20</v>
      </c>
    </row>
    <row r="483" spans="1:19" x14ac:dyDescent="0.2">
      <c r="A483" s="11">
        <f t="shared" si="47"/>
        <v>481</v>
      </c>
      <c r="B483" s="11">
        <v>3.6457853396000002</v>
      </c>
      <c r="C483" s="11">
        <v>1.4658495744325999</v>
      </c>
      <c r="D483" s="11">
        <v>0.747872835849</v>
      </c>
      <c r="E483" s="11">
        <v>25.805419434283998</v>
      </c>
      <c r="F483" s="11"/>
      <c r="G483" s="11">
        <v>31.664927184165599</v>
      </c>
      <c r="H483" s="11"/>
      <c r="I483" s="914">
        <f>+SUM(B484:B$501)</f>
        <v>67.189452973517092</v>
      </c>
      <c r="J483" s="914">
        <f>+SUM(C484:C$501)</f>
        <v>39.635515905724979</v>
      </c>
      <c r="K483" s="914">
        <f t="shared" si="42"/>
        <v>106.82496887924208</v>
      </c>
      <c r="L483" s="914">
        <f>+SUM(D484:D$501)</f>
        <v>4.3614639497764003</v>
      </c>
      <c r="M483" s="914">
        <f>+SUM(E484:E$501)</f>
        <v>424.92883442742936</v>
      </c>
      <c r="N483" s="914">
        <f>+SUM(F484:F$501)</f>
        <v>0</v>
      </c>
      <c r="O483" s="914">
        <f>+SUM(G484:G$501)</f>
        <v>536.11526725644785</v>
      </c>
      <c r="P483" s="11">
        <f t="shared" si="43"/>
        <v>25.805419434283998</v>
      </c>
      <c r="Q483" s="913">
        <f t="shared" si="44"/>
        <v>0</v>
      </c>
      <c r="R483" s="11">
        <f t="shared" si="45"/>
        <v>0</v>
      </c>
      <c r="S483" s="913">
        <f t="shared" si="46"/>
        <v>19</v>
      </c>
    </row>
    <row r="484" spans="1:19" x14ac:dyDescent="0.2">
      <c r="A484" s="11">
        <f t="shared" si="47"/>
        <v>482</v>
      </c>
      <c r="B484" s="11">
        <v>2.8128024349029999</v>
      </c>
      <c r="C484" s="11">
        <v>2.4454556951399997</v>
      </c>
      <c r="D484" s="11">
        <v>0.32715269165200001</v>
      </c>
      <c r="E484" s="11">
        <v>27.202577182757999</v>
      </c>
      <c r="F484" s="11"/>
      <c r="G484" s="11">
        <v>32.787988004452998</v>
      </c>
      <c r="H484" s="11"/>
      <c r="I484" s="914">
        <f>+SUM(B485:B$501)</f>
        <v>64.376650538614101</v>
      </c>
      <c r="J484" s="914">
        <f>+SUM(C485:C$501)</f>
        <v>37.190060210584981</v>
      </c>
      <c r="K484" s="914">
        <f t="shared" si="42"/>
        <v>101.56671074919907</v>
      </c>
      <c r="L484" s="914">
        <f>+SUM(D485:D$501)</f>
        <v>4.0343112581243998</v>
      </c>
      <c r="M484" s="914">
        <f>+SUM(E485:E$501)</f>
        <v>397.72625724467133</v>
      </c>
      <c r="N484" s="914">
        <f>+SUM(F485:F$501)</f>
        <v>0</v>
      </c>
      <c r="O484" s="914">
        <f>+SUM(G485:G$501)</f>
        <v>503.32727925199481</v>
      </c>
      <c r="P484" s="11">
        <f t="shared" si="43"/>
        <v>27.202577182757999</v>
      </c>
      <c r="Q484" s="913">
        <f t="shared" si="44"/>
        <v>0</v>
      </c>
      <c r="R484" s="11">
        <f t="shared" si="45"/>
        <v>0</v>
      </c>
      <c r="S484" s="913">
        <f t="shared" si="46"/>
        <v>18</v>
      </c>
    </row>
    <row r="485" spans="1:19" x14ac:dyDescent="0.2">
      <c r="A485" s="11">
        <f t="shared" si="47"/>
        <v>483</v>
      </c>
      <c r="B485" s="11">
        <v>2.3025863462290004</v>
      </c>
      <c r="C485" s="11">
        <v>2.3463418719479998</v>
      </c>
      <c r="D485" s="11">
        <v>0.62312249956999999</v>
      </c>
      <c r="E485" s="11">
        <v>28.601976395355003</v>
      </c>
      <c r="F485" s="11"/>
      <c r="G485" s="11">
        <v>33.874027113102002</v>
      </c>
      <c r="H485" s="11"/>
      <c r="I485" s="914">
        <f>+SUM(B486:B$501)</f>
        <v>62.074064192385094</v>
      </c>
      <c r="J485" s="914">
        <f>+SUM(C486:C$501)</f>
        <v>34.843718338636982</v>
      </c>
      <c r="K485" s="914">
        <f t="shared" si="42"/>
        <v>96.917782531022084</v>
      </c>
      <c r="L485" s="914">
        <f>+SUM(D486:D$501)</f>
        <v>3.4111887585543998</v>
      </c>
      <c r="M485" s="914">
        <f>+SUM(E486:E$501)</f>
        <v>369.12428084931634</v>
      </c>
      <c r="N485" s="914">
        <f>+SUM(F486:F$501)</f>
        <v>0</v>
      </c>
      <c r="O485" s="914">
        <f>+SUM(G486:G$501)</f>
        <v>469.45325213889282</v>
      </c>
      <c r="P485" s="11">
        <f t="shared" si="43"/>
        <v>28.601976395355003</v>
      </c>
      <c r="Q485" s="913">
        <f t="shared" si="44"/>
        <v>0</v>
      </c>
      <c r="R485" s="11">
        <f t="shared" si="45"/>
        <v>0</v>
      </c>
      <c r="S485" s="913">
        <f t="shared" si="46"/>
        <v>17</v>
      </c>
    </row>
    <row r="486" spans="1:19" x14ac:dyDescent="0.2">
      <c r="A486" s="11">
        <f t="shared" si="47"/>
        <v>484</v>
      </c>
      <c r="B486" s="11">
        <v>2.1625240367200003</v>
      </c>
      <c r="C486" s="11">
        <v>2.0486337601370002</v>
      </c>
      <c r="D486" s="11">
        <v>0.363219657724</v>
      </c>
      <c r="E486" s="11">
        <v>30.407126819228999</v>
      </c>
      <c r="F486" s="11"/>
      <c r="G486" s="11">
        <v>34.981504273809996</v>
      </c>
      <c r="H486" s="11"/>
      <c r="I486" s="914">
        <f>+SUM(B487:B$501)</f>
        <v>59.911540155665094</v>
      </c>
      <c r="J486" s="914">
        <f>+SUM(C487:C$501)</f>
        <v>32.795084578499981</v>
      </c>
      <c r="K486" s="914">
        <f t="shared" si="42"/>
        <v>92.706624734165075</v>
      </c>
      <c r="L486" s="914">
        <f>+SUM(D487:D$501)</f>
        <v>3.0479691008304002</v>
      </c>
      <c r="M486" s="914">
        <f>+SUM(E487:E$501)</f>
        <v>338.71715403008733</v>
      </c>
      <c r="N486" s="914">
        <f>+SUM(F487:F$501)</f>
        <v>0</v>
      </c>
      <c r="O486" s="914">
        <f>+SUM(G487:G$501)</f>
        <v>434.47174786508276</v>
      </c>
      <c r="P486" s="11">
        <f t="shared" si="43"/>
        <v>30.407126819228999</v>
      </c>
      <c r="Q486" s="913">
        <f t="shared" si="44"/>
        <v>0</v>
      </c>
      <c r="R486" s="11">
        <f t="shared" si="45"/>
        <v>0</v>
      </c>
      <c r="S486" s="913">
        <f t="shared" si="46"/>
        <v>16</v>
      </c>
    </row>
    <row r="487" spans="1:19" x14ac:dyDescent="0.2">
      <c r="A487" s="11">
        <f t="shared" si="47"/>
        <v>485</v>
      </c>
      <c r="B487" s="11">
        <v>2.9733476171920001</v>
      </c>
      <c r="C487" s="11">
        <v>3.0231628173759999</v>
      </c>
      <c r="D487" s="11">
        <v>0.62394513458800005</v>
      </c>
      <c r="E487" s="11">
        <v>29.631757438461001</v>
      </c>
      <c r="F487" s="11"/>
      <c r="G487" s="11">
        <v>36.252213007617001</v>
      </c>
      <c r="H487" s="11"/>
      <c r="I487" s="914">
        <f>+SUM(B488:B$501)</f>
        <v>56.938192538473103</v>
      </c>
      <c r="J487" s="914">
        <f>+SUM(C488:C$501)</f>
        <v>29.771921761123981</v>
      </c>
      <c r="K487" s="914">
        <f t="shared" si="42"/>
        <v>86.71011429959708</v>
      </c>
      <c r="L487" s="914">
        <f>+SUM(D488:D$501)</f>
        <v>2.4240239662423999</v>
      </c>
      <c r="M487" s="914">
        <f>+SUM(E488:E$501)</f>
        <v>309.08539659162631</v>
      </c>
      <c r="N487" s="914">
        <f>+SUM(F488:F$501)</f>
        <v>0</v>
      </c>
      <c r="O487" s="914">
        <f>+SUM(G488:G$501)</f>
        <v>398.21953485746582</v>
      </c>
      <c r="P487" s="11">
        <f t="shared" si="43"/>
        <v>29.631757438461001</v>
      </c>
      <c r="Q487" s="913">
        <f t="shared" si="44"/>
        <v>0</v>
      </c>
      <c r="R487" s="11">
        <f t="shared" si="45"/>
        <v>0</v>
      </c>
      <c r="S487" s="913">
        <f t="shared" si="46"/>
        <v>15</v>
      </c>
    </row>
    <row r="488" spans="1:19" x14ac:dyDescent="0.2">
      <c r="A488" s="11">
        <f t="shared" si="47"/>
        <v>486</v>
      </c>
      <c r="B488" s="11">
        <v>2.4442563138100004</v>
      </c>
      <c r="C488" s="11">
        <v>2.2478430790099999</v>
      </c>
      <c r="D488" s="11">
        <v>0.61939772934199999</v>
      </c>
      <c r="E488" s="11">
        <v>32.049479410392799</v>
      </c>
      <c r="F488" s="11"/>
      <c r="G488" s="11">
        <v>37.360976532554801</v>
      </c>
      <c r="H488" s="11"/>
      <c r="I488" s="914">
        <f>+SUM(B489:B$501)</f>
        <v>54.493936224663102</v>
      </c>
      <c r="J488" s="914">
        <f>+SUM(C489:C$501)</f>
        <v>27.524078682113981</v>
      </c>
      <c r="K488" s="914">
        <f t="shared" si="42"/>
        <v>82.018014906777083</v>
      </c>
      <c r="L488" s="914">
        <f>+SUM(D489:D$501)</f>
        <v>1.8046262369004</v>
      </c>
      <c r="M488" s="914">
        <f>+SUM(E489:E$501)</f>
        <v>277.03591718123351</v>
      </c>
      <c r="N488" s="914">
        <f>+SUM(F489:F$501)</f>
        <v>0</v>
      </c>
      <c r="O488" s="914">
        <f>+SUM(G489:G$501)</f>
        <v>360.85855832491103</v>
      </c>
      <c r="P488" s="11">
        <f t="shared" si="43"/>
        <v>32.049479410392799</v>
      </c>
      <c r="Q488" s="913">
        <f t="shared" si="44"/>
        <v>0</v>
      </c>
      <c r="R488" s="11">
        <f t="shared" si="45"/>
        <v>0</v>
      </c>
      <c r="S488" s="913">
        <f t="shared" si="46"/>
        <v>14</v>
      </c>
    </row>
    <row r="489" spans="1:19" x14ac:dyDescent="0.2">
      <c r="A489" s="11">
        <f t="shared" si="47"/>
        <v>487</v>
      </c>
      <c r="B489" s="11">
        <v>1.1313751297300001</v>
      </c>
      <c r="C489" s="11">
        <v>2.4503565465410002</v>
      </c>
      <c r="D489" s="11">
        <v>0.47548708550239999</v>
      </c>
      <c r="E489" s="11">
        <v>34.116621028437002</v>
      </c>
      <c r="F489" s="11"/>
      <c r="G489" s="11">
        <v>38.173839790210401</v>
      </c>
      <c r="H489" s="11"/>
      <c r="I489" s="914">
        <f>+SUM(B490:B$501)</f>
        <v>53.362561094933099</v>
      </c>
      <c r="J489" s="914">
        <f>+SUM(C490:C$501)</f>
        <v>25.073722135572982</v>
      </c>
      <c r="K489" s="914">
        <f t="shared" si="42"/>
        <v>78.436283230506078</v>
      </c>
      <c r="L489" s="914">
        <f>+SUM(D490:D$501)</f>
        <v>1.329139151398</v>
      </c>
      <c r="M489" s="914">
        <f>+SUM(E490:E$501)</f>
        <v>242.91929615279651</v>
      </c>
      <c r="N489" s="914">
        <f>+SUM(F490:F$501)</f>
        <v>0</v>
      </c>
      <c r="O489" s="914">
        <f>+SUM(G490:G$501)</f>
        <v>322.68471853470066</v>
      </c>
      <c r="P489" s="11">
        <f t="shared" si="43"/>
        <v>34.116621028437002</v>
      </c>
      <c r="Q489" s="913">
        <f t="shared" si="44"/>
        <v>0</v>
      </c>
      <c r="R489" s="11">
        <f t="shared" si="45"/>
        <v>0</v>
      </c>
      <c r="S489" s="913">
        <f t="shared" si="46"/>
        <v>13</v>
      </c>
    </row>
    <row r="490" spans="1:19" x14ac:dyDescent="0.2">
      <c r="A490" s="11">
        <f t="shared" si="47"/>
        <v>488</v>
      </c>
      <c r="B490" s="11">
        <v>1.7673178415199999</v>
      </c>
      <c r="C490" s="11">
        <v>2.6507200218099998</v>
      </c>
      <c r="D490" s="11">
        <v>0.21723715776999999</v>
      </c>
      <c r="E490" s="11">
        <v>33.078318495888702</v>
      </c>
      <c r="F490" s="11"/>
      <c r="G490" s="11">
        <v>37.713593516988702</v>
      </c>
      <c r="H490" s="11"/>
      <c r="I490" s="914">
        <f>+SUM(B491:B$501)</f>
        <v>51.595243253413102</v>
      </c>
      <c r="J490" s="914">
        <f>+SUM(C491:C$501)</f>
        <v>22.42300211376298</v>
      </c>
      <c r="K490" s="914">
        <f t="shared" si="42"/>
        <v>74.018245367176078</v>
      </c>
      <c r="L490" s="914">
        <f>+SUM(D491:D$501)</f>
        <v>1.1119019936279999</v>
      </c>
      <c r="M490" s="914">
        <f>+SUM(E491:E$501)</f>
        <v>209.8409776569078</v>
      </c>
      <c r="N490" s="914">
        <f>+SUM(F491:F$501)</f>
        <v>0</v>
      </c>
      <c r="O490" s="914">
        <f>+SUM(G491:G$501)</f>
        <v>284.97112501771193</v>
      </c>
      <c r="P490" s="11">
        <f t="shared" si="43"/>
        <v>33.078318495888702</v>
      </c>
      <c r="Q490" s="913">
        <f t="shared" si="44"/>
        <v>0</v>
      </c>
      <c r="R490" s="11">
        <f t="shared" si="45"/>
        <v>0</v>
      </c>
      <c r="S490" s="913">
        <f t="shared" si="46"/>
        <v>12</v>
      </c>
    </row>
    <row r="491" spans="1:19" x14ac:dyDescent="0.2">
      <c r="A491" s="11">
        <f t="shared" si="47"/>
        <v>489</v>
      </c>
      <c r="B491" s="11">
        <v>2.826101526865</v>
      </c>
      <c r="C491" s="11">
        <v>1.9424904582786831</v>
      </c>
      <c r="D491" s="11"/>
      <c r="E491" s="11">
        <v>30.812473639551797</v>
      </c>
      <c r="F491" s="11"/>
      <c r="G491" s="11">
        <v>35.581065624695484</v>
      </c>
      <c r="H491" s="11"/>
      <c r="I491" s="914">
        <f>+SUM(B492:B$501)</f>
        <v>48.769141726548099</v>
      </c>
      <c r="J491" s="914">
        <f>+SUM(C492:C$501)</f>
        <v>20.480511655484296</v>
      </c>
      <c r="K491" s="914">
        <f t="shared" si="42"/>
        <v>69.249653382032392</v>
      </c>
      <c r="L491" s="914">
        <f>+SUM(D492:D$501)</f>
        <v>1.1119019936279999</v>
      </c>
      <c r="M491" s="914">
        <f>+SUM(E492:E$501)</f>
        <v>179.028504017356</v>
      </c>
      <c r="N491" s="914">
        <f>+SUM(F492:F$501)</f>
        <v>0</v>
      </c>
      <c r="O491" s="914">
        <f>+SUM(G492:G$501)</f>
        <v>249.3900593930164</v>
      </c>
      <c r="P491" s="11">
        <f t="shared" si="43"/>
        <v>30.812473639551797</v>
      </c>
      <c r="Q491" s="913">
        <f t="shared" si="44"/>
        <v>0</v>
      </c>
      <c r="R491" s="11">
        <f t="shared" si="45"/>
        <v>0</v>
      </c>
      <c r="S491" s="913">
        <f t="shared" si="46"/>
        <v>11</v>
      </c>
    </row>
    <row r="492" spans="1:19" x14ac:dyDescent="0.2">
      <c r="A492" s="11">
        <f t="shared" si="47"/>
        <v>490</v>
      </c>
      <c r="B492" s="11">
        <v>2.8024426914505001</v>
      </c>
      <c r="C492" s="11">
        <v>1.9931151964989</v>
      </c>
      <c r="D492" s="11"/>
      <c r="E492" s="11">
        <v>29.166138579558702</v>
      </c>
      <c r="F492" s="11"/>
      <c r="G492" s="11">
        <v>33.961696467508105</v>
      </c>
      <c r="H492" s="11"/>
      <c r="I492" s="914">
        <f>+SUM(B493:B$501)</f>
        <v>45.966699035097598</v>
      </c>
      <c r="J492" s="914">
        <f>+SUM(C493:C$501)</f>
        <v>18.487396458985398</v>
      </c>
      <c r="K492" s="914">
        <f t="shared" si="42"/>
        <v>64.454095494082992</v>
      </c>
      <c r="L492" s="914">
        <f>+SUM(D493:D$501)</f>
        <v>1.1119019936279999</v>
      </c>
      <c r="M492" s="914">
        <f>+SUM(E493:E$501)</f>
        <v>149.86236543779728</v>
      </c>
      <c r="N492" s="914">
        <f>+SUM(F493:F$501)</f>
        <v>0</v>
      </c>
      <c r="O492" s="914">
        <f>+SUM(G493:G$501)</f>
        <v>215.42836292550828</v>
      </c>
      <c r="P492" s="11">
        <f t="shared" si="43"/>
        <v>29.166138579558702</v>
      </c>
      <c r="Q492" s="913">
        <f t="shared" si="44"/>
        <v>0</v>
      </c>
      <c r="R492" s="11">
        <f t="shared" si="45"/>
        <v>0</v>
      </c>
      <c r="S492" s="913">
        <f t="shared" si="46"/>
        <v>10</v>
      </c>
    </row>
    <row r="493" spans="1:19" x14ac:dyDescent="0.2">
      <c r="A493" s="11">
        <f t="shared" si="47"/>
        <v>491</v>
      </c>
      <c r="B493" s="11">
        <v>3.2220661975600002</v>
      </c>
      <c r="C493" s="11">
        <v>3.3273149953110002</v>
      </c>
      <c r="D493" s="11"/>
      <c r="E493" s="11">
        <v>26.633543947294001</v>
      </c>
      <c r="F493" s="11"/>
      <c r="G493" s="11">
        <v>33.182925140165004</v>
      </c>
      <c r="H493" s="11"/>
      <c r="I493" s="914">
        <f>+SUM(B494:B$501)</f>
        <v>42.744632837537601</v>
      </c>
      <c r="J493" s="914">
        <f>+SUM(C494:C$501)</f>
        <v>15.1600814636744</v>
      </c>
      <c r="K493" s="914">
        <f t="shared" si="42"/>
        <v>57.904714301212003</v>
      </c>
      <c r="L493" s="914">
        <f>+SUM(D494:D$501)</f>
        <v>1.1119019936279999</v>
      </c>
      <c r="M493" s="914">
        <f>+SUM(E494:E$501)</f>
        <v>123.22882149050329</v>
      </c>
      <c r="N493" s="914">
        <f>+SUM(F494:F$501)</f>
        <v>0</v>
      </c>
      <c r="O493" s="914">
        <f>+SUM(G494:G$501)</f>
        <v>182.24543778534328</v>
      </c>
      <c r="P493" s="11">
        <f t="shared" si="43"/>
        <v>26.633543947294001</v>
      </c>
      <c r="Q493" s="913">
        <f t="shared" si="44"/>
        <v>0</v>
      </c>
      <c r="R493" s="11">
        <f t="shared" si="45"/>
        <v>0</v>
      </c>
      <c r="S493" s="913">
        <f t="shared" si="46"/>
        <v>9</v>
      </c>
    </row>
    <row r="494" spans="1:19" x14ac:dyDescent="0.2">
      <c r="A494" s="11">
        <f t="shared" si="47"/>
        <v>492</v>
      </c>
      <c r="B494" s="11">
        <v>1.7829513111759998</v>
      </c>
      <c r="C494" s="11">
        <v>2.9924339976910002</v>
      </c>
      <c r="D494" s="11"/>
      <c r="E494" s="11">
        <v>27.606513202963001</v>
      </c>
      <c r="F494" s="11"/>
      <c r="G494" s="11">
        <v>32.381898511830002</v>
      </c>
      <c r="H494" s="11"/>
      <c r="I494" s="914">
        <f>+SUM(B495:B$501)</f>
        <v>40.961681526361602</v>
      </c>
      <c r="J494" s="914">
        <f>+SUM(C495:C$501)</f>
        <v>12.1676474659834</v>
      </c>
      <c r="K494" s="914">
        <f t="shared" si="42"/>
        <v>53.129328992345002</v>
      </c>
      <c r="L494" s="914">
        <f>+SUM(D495:D$501)</f>
        <v>1.1119019936279999</v>
      </c>
      <c r="M494" s="914">
        <f>+SUM(E495:E$501)</f>
        <v>95.622308287540292</v>
      </c>
      <c r="N494" s="914">
        <f>+SUM(F495:F$501)</f>
        <v>0</v>
      </c>
      <c r="O494" s="914">
        <f>+SUM(G495:G$501)</f>
        <v>149.86353927351328</v>
      </c>
      <c r="P494" s="11">
        <f t="shared" si="43"/>
        <v>27.606513202963001</v>
      </c>
      <c r="Q494" s="913">
        <f t="shared" si="44"/>
        <v>0</v>
      </c>
      <c r="R494" s="11">
        <f t="shared" si="45"/>
        <v>0</v>
      </c>
      <c r="S494" s="913">
        <f t="shared" si="46"/>
        <v>8</v>
      </c>
    </row>
    <row r="495" spans="1:19" x14ac:dyDescent="0.2">
      <c r="A495" s="11">
        <f t="shared" si="47"/>
        <v>493</v>
      </c>
      <c r="B495" s="11">
        <v>2.1371144458488001</v>
      </c>
      <c r="C495" s="11">
        <v>1.6736514916090999</v>
      </c>
      <c r="D495" s="11"/>
      <c r="E495" s="11">
        <v>27.809253197723002</v>
      </c>
      <c r="F495" s="11"/>
      <c r="G495" s="11">
        <v>31.620019135180904</v>
      </c>
      <c r="H495" s="11"/>
      <c r="I495" s="914">
        <f>+SUM(B496:B$501)</f>
        <v>38.8245670805128</v>
      </c>
      <c r="J495" s="914">
        <f>+SUM(C496:C$501)</f>
        <v>10.4939959743743</v>
      </c>
      <c r="K495" s="914">
        <f t="shared" si="42"/>
        <v>49.3185630548871</v>
      </c>
      <c r="L495" s="914">
        <f>+SUM(D496:D$501)</f>
        <v>1.1119019936279999</v>
      </c>
      <c r="M495" s="914">
        <f>+SUM(E496:E$501)</f>
        <v>67.813055089817283</v>
      </c>
      <c r="N495" s="914">
        <f>+SUM(F496:F$501)</f>
        <v>0</v>
      </c>
      <c r="O495" s="914">
        <f>+SUM(G496:G$501)</f>
        <v>118.24352013833239</v>
      </c>
      <c r="P495" s="11">
        <f t="shared" si="43"/>
        <v>27.809253197723002</v>
      </c>
      <c r="Q495" s="913">
        <f t="shared" si="44"/>
        <v>0</v>
      </c>
      <c r="R495" s="11">
        <f t="shared" si="45"/>
        <v>0</v>
      </c>
      <c r="S495" s="913">
        <f t="shared" si="46"/>
        <v>7</v>
      </c>
    </row>
    <row r="496" spans="1:19" x14ac:dyDescent="0.2">
      <c r="A496" s="11">
        <f t="shared" si="47"/>
        <v>494</v>
      </c>
      <c r="B496" s="11">
        <v>3.3522782264090001</v>
      </c>
      <c r="C496" s="11">
        <v>1.7181967422320001</v>
      </c>
      <c r="D496" s="11"/>
      <c r="E496" s="11">
        <v>25.4760576306</v>
      </c>
      <c r="F496" s="11"/>
      <c r="G496" s="11">
        <v>30.546532599241001</v>
      </c>
      <c r="H496" s="11"/>
      <c r="I496" s="914">
        <f>+SUM(B497:B$501)</f>
        <v>35.472288854103802</v>
      </c>
      <c r="J496" s="914">
        <f>+SUM(C497:C$501)</f>
        <v>8.7757992321422993</v>
      </c>
      <c r="K496" s="914">
        <f t="shared" si="42"/>
        <v>44.248088086246099</v>
      </c>
      <c r="L496" s="914">
        <f>+SUM(D497:D$501)</f>
        <v>1.1119019936279999</v>
      </c>
      <c r="M496" s="914">
        <f>+SUM(E497:E$501)</f>
        <v>42.336997459217294</v>
      </c>
      <c r="N496" s="914">
        <f>+SUM(F497:F$501)</f>
        <v>0</v>
      </c>
      <c r="O496" s="914">
        <f>+SUM(G497:G$501)</f>
        <v>87.696987539091381</v>
      </c>
      <c r="P496" s="11">
        <f t="shared" si="43"/>
        <v>25.4760576306</v>
      </c>
      <c r="Q496" s="913">
        <f t="shared" si="44"/>
        <v>0</v>
      </c>
      <c r="R496" s="11">
        <f t="shared" si="45"/>
        <v>0</v>
      </c>
      <c r="S496" s="913">
        <f t="shared" si="46"/>
        <v>6</v>
      </c>
    </row>
    <row r="497" spans="1:19" x14ac:dyDescent="0.2">
      <c r="A497" s="11">
        <f t="shared" si="47"/>
        <v>495</v>
      </c>
      <c r="B497" s="11">
        <v>9.5346716194659997</v>
      </c>
      <c r="C497" s="11">
        <v>1.5463729539008</v>
      </c>
      <c r="D497" s="11"/>
      <c r="E497" s="11">
        <v>16.656415028840001</v>
      </c>
      <c r="F497" s="11"/>
      <c r="G497" s="11">
        <v>27.737459602206801</v>
      </c>
      <c r="H497" s="11"/>
      <c r="I497" s="914">
        <f>+SUM(B498:B$501)</f>
        <v>25.937617234637798</v>
      </c>
      <c r="J497" s="914">
        <f>+SUM(C498:C$501)</f>
        <v>7.2294262782415002</v>
      </c>
      <c r="K497" s="914">
        <f t="shared" si="42"/>
        <v>33.167043512879296</v>
      </c>
      <c r="L497" s="914">
        <f>+SUM(D498:D$501)</f>
        <v>1.1119019936279999</v>
      </c>
      <c r="M497" s="914">
        <f>+SUM(E498:E$501)</f>
        <v>25.680582430377292</v>
      </c>
      <c r="N497" s="914">
        <f>+SUM(F498:F$501)</f>
        <v>0</v>
      </c>
      <c r="O497" s="914">
        <f>+SUM(G498:G$501)</f>
        <v>59.959527936884584</v>
      </c>
      <c r="P497" s="11">
        <f t="shared" si="43"/>
        <v>16.656415028840001</v>
      </c>
      <c r="Q497" s="913">
        <f t="shared" si="44"/>
        <v>0</v>
      </c>
      <c r="R497" s="11">
        <f t="shared" si="45"/>
        <v>0</v>
      </c>
      <c r="S497" s="913">
        <f t="shared" si="46"/>
        <v>5</v>
      </c>
    </row>
    <row r="498" spans="1:19" x14ac:dyDescent="0.2">
      <c r="A498" s="11">
        <f t="shared" si="47"/>
        <v>496</v>
      </c>
      <c r="B498" s="11">
        <v>5.596646410335099</v>
      </c>
      <c r="C498" s="11">
        <v>1.82987504448</v>
      </c>
      <c r="D498" s="11"/>
      <c r="E498" s="11">
        <v>13.467153399923999</v>
      </c>
      <c r="F498" s="11"/>
      <c r="G498" s="11">
        <v>20.893674854739096</v>
      </c>
      <c r="H498" s="11"/>
      <c r="I498" s="914">
        <f>+SUM(B499:B$501)</f>
        <v>20.340970824302701</v>
      </c>
      <c r="J498" s="914">
        <f>+SUM(C499:C$501)</f>
        <v>5.3995512337614997</v>
      </c>
      <c r="K498" s="914">
        <f t="shared" si="42"/>
        <v>25.740522058064201</v>
      </c>
      <c r="L498" s="914">
        <f>+SUM(D499:D$501)</f>
        <v>1.1119019936279999</v>
      </c>
      <c r="M498" s="914">
        <f>+SUM(E499:E$501)</f>
        <v>12.213429030453291</v>
      </c>
      <c r="N498" s="914">
        <f>+SUM(F499:F$501)</f>
        <v>0</v>
      </c>
      <c r="O498" s="914">
        <f>+SUM(G499:G$501)</f>
        <v>39.065853082145495</v>
      </c>
      <c r="P498" s="11">
        <f t="shared" si="43"/>
        <v>13.467153399923999</v>
      </c>
      <c r="Q498" s="913">
        <f t="shared" si="44"/>
        <v>0</v>
      </c>
      <c r="R498" s="11">
        <f t="shared" si="45"/>
        <v>0</v>
      </c>
      <c r="S498" s="913">
        <f t="shared" si="46"/>
        <v>4</v>
      </c>
    </row>
    <row r="499" spans="1:19" x14ac:dyDescent="0.2">
      <c r="A499" s="11">
        <f t="shared" si="47"/>
        <v>497</v>
      </c>
      <c r="B499" s="11">
        <v>6.1438625243199994</v>
      </c>
      <c r="C499" s="11">
        <v>2.5059264751987</v>
      </c>
      <c r="D499" s="11">
        <v>0.109542557018</v>
      </c>
      <c r="E499" s="11">
        <v>8.7281454547700008</v>
      </c>
      <c r="F499" s="11"/>
      <c r="G499" s="11">
        <v>17.487477011306702</v>
      </c>
      <c r="H499" s="11"/>
      <c r="I499" s="914">
        <f>+SUM(B500:B$501)</f>
        <v>14.1971082999827</v>
      </c>
      <c r="J499" s="914">
        <f>+SUM(C500:C$501)</f>
        <v>2.8936247585627997</v>
      </c>
      <c r="K499" s="914">
        <f t="shared" si="42"/>
        <v>17.090733058545499</v>
      </c>
      <c r="L499" s="914">
        <f>+SUM(D500:D$501)</f>
        <v>1.0023594366099999</v>
      </c>
      <c r="M499" s="914">
        <f>+SUM(E500:E$501)</f>
        <v>3.4852835756832903</v>
      </c>
      <c r="N499" s="914">
        <f>+SUM(F500:F$501)</f>
        <v>0</v>
      </c>
      <c r="O499" s="914">
        <f>+SUM(G500:G$501)</f>
        <v>21.57837607083879</v>
      </c>
      <c r="P499" s="11">
        <f t="shared" si="43"/>
        <v>8.7281454547700008</v>
      </c>
      <c r="Q499" s="913">
        <f t="shared" si="44"/>
        <v>0</v>
      </c>
      <c r="R499" s="11">
        <f t="shared" si="45"/>
        <v>0</v>
      </c>
      <c r="S499" s="913">
        <f t="shared" si="46"/>
        <v>3</v>
      </c>
    </row>
    <row r="500" spans="1:19" x14ac:dyDescent="0.2">
      <c r="A500" s="11">
        <f t="shared" si="47"/>
        <v>498</v>
      </c>
      <c r="B500" s="11">
        <v>7.9574282313799998</v>
      </c>
      <c r="C500" s="11">
        <v>1.8732886473899997</v>
      </c>
      <c r="D500" s="11">
        <v>1.0023594366099999</v>
      </c>
      <c r="E500" s="11">
        <v>3.2197879281064901</v>
      </c>
      <c r="F500" s="11"/>
      <c r="G500" s="11">
        <v>14.052864243486489</v>
      </c>
      <c r="H500" s="11"/>
      <c r="I500" s="914">
        <f>+SUM(B501:B$501)</f>
        <v>6.2396800686027003</v>
      </c>
      <c r="J500" s="914">
        <f>+SUM(C501:C$501)</f>
        <v>1.0203361111728</v>
      </c>
      <c r="K500" s="914">
        <f t="shared" si="42"/>
        <v>7.2600161797755005</v>
      </c>
      <c r="L500" s="914">
        <f>+SUM(D501:D$501)</f>
        <v>0</v>
      </c>
      <c r="M500" s="914">
        <f>+SUM(E501:E$501)</f>
        <v>0.2654956475768</v>
      </c>
      <c r="N500" s="914">
        <f>+SUM(F501:F$501)</f>
        <v>0</v>
      </c>
      <c r="O500" s="914">
        <f>+SUM(G501:G$501)</f>
        <v>7.5255118273523003</v>
      </c>
      <c r="P500" s="11">
        <f t="shared" si="43"/>
        <v>3.2197879281064901</v>
      </c>
      <c r="Q500" s="913">
        <f t="shared" si="44"/>
        <v>0</v>
      </c>
      <c r="R500" s="11">
        <f t="shared" si="45"/>
        <v>0</v>
      </c>
      <c r="S500" s="913">
        <f t="shared" si="46"/>
        <v>2</v>
      </c>
    </row>
    <row r="501" spans="1:19" x14ac:dyDescent="0.2">
      <c r="A501" s="11">
        <f t="shared" si="47"/>
        <v>499</v>
      </c>
      <c r="B501" s="11">
        <v>6.2396800686027003</v>
      </c>
      <c r="C501" s="11">
        <v>1.0203361111728</v>
      </c>
      <c r="D501" s="11"/>
      <c r="E501" s="11">
        <v>0.2654956475768</v>
      </c>
      <c r="F501" s="11"/>
      <c r="G501" s="11">
        <v>7.5255118273523003</v>
      </c>
      <c r="H501" s="11"/>
      <c r="I501" s="914">
        <f>+SUM(B$501:B502)</f>
        <v>6.2396800686027003</v>
      </c>
      <c r="J501" s="914">
        <f>+SUM(C$501:C502)</f>
        <v>1.0203361111728</v>
      </c>
      <c r="K501" s="914">
        <f t="shared" si="42"/>
        <v>7.2600161797755005</v>
      </c>
      <c r="L501" s="914">
        <f>+SUM(D$501:D502)</f>
        <v>0</v>
      </c>
      <c r="M501" s="914">
        <f>+SUM(E$501:E502)</f>
        <v>0.2654956475768</v>
      </c>
      <c r="N501" s="914">
        <f>+SUM(F$501:F502)</f>
        <v>0</v>
      </c>
      <c r="O501" s="914">
        <f>+SUM(G$501:G502)</f>
        <v>7.5255118273523003</v>
      </c>
      <c r="P501" s="11">
        <f t="shared" si="43"/>
        <v>0.2654956475768</v>
      </c>
      <c r="Q501" s="913">
        <f t="shared" si="44"/>
        <v>0</v>
      </c>
      <c r="R501" s="11">
        <f t="shared" si="45"/>
        <v>0</v>
      </c>
      <c r="S501" s="913">
        <f t="shared" si="46"/>
        <v>1</v>
      </c>
    </row>
    <row r="502" spans="1:19" x14ac:dyDescent="0.2">
      <c r="A502" s="451"/>
      <c r="B502" s="11"/>
      <c r="C502" s="11"/>
      <c r="D502" s="11"/>
      <c r="E502" s="11"/>
      <c r="F502" s="11"/>
      <c r="G502" s="11"/>
      <c r="H502" s="11"/>
      <c r="Q502" s="11">
        <v>500</v>
      </c>
      <c r="S502" s="11">
        <v>500</v>
      </c>
    </row>
    <row r="503" spans="1:19" x14ac:dyDescent="0.2">
      <c r="A503" s="912" t="s">
        <v>27</v>
      </c>
      <c r="B503" s="451"/>
      <c r="C503" s="451"/>
      <c r="D503" s="451"/>
      <c r="E503" s="451"/>
      <c r="F503" s="451"/>
      <c r="G503" s="451"/>
      <c r="H503" s="451"/>
    </row>
    <row r="504" spans="1:19" x14ac:dyDescent="0.2">
      <c r="A504" s="451"/>
      <c r="B504" s="451"/>
      <c r="C504" s="451"/>
      <c r="D504" s="451"/>
      <c r="E504" s="451"/>
      <c r="F504" s="451"/>
      <c r="G504" s="451"/>
      <c r="H504" s="451"/>
    </row>
    <row r="505" spans="1:19" x14ac:dyDescent="0.2">
      <c r="A505" s="451"/>
      <c r="B505" s="451"/>
      <c r="C505" s="451"/>
      <c r="D505" s="451"/>
      <c r="E505" s="451"/>
      <c r="F505" s="451"/>
      <c r="G505" s="451"/>
      <c r="H505" s="451"/>
    </row>
    <row r="506" spans="1:19" x14ac:dyDescent="0.2">
      <c r="A506" s="451"/>
      <c r="B506" s="451"/>
      <c r="C506" s="451"/>
      <c r="D506" s="451"/>
      <c r="E506" s="451"/>
      <c r="F506" s="451"/>
      <c r="G506" s="451"/>
      <c r="H506" s="451"/>
    </row>
    <row r="507" spans="1:19" x14ac:dyDescent="0.2">
      <c r="A507" s="451"/>
      <c r="B507" s="451"/>
      <c r="C507" s="451"/>
      <c r="D507" s="451"/>
      <c r="E507" s="451"/>
      <c r="F507" s="451"/>
      <c r="G507" s="451"/>
      <c r="H507" s="451"/>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
  <sheetViews>
    <sheetView zoomScale="40" zoomScaleNormal="40" workbookViewId="0">
      <selection activeCell="AD74" sqref="AD74"/>
    </sheetView>
  </sheetViews>
  <sheetFormatPr defaultColWidth="9.140625" defaultRowHeight="12.75" x14ac:dyDescent="0.2"/>
  <cols>
    <col min="1" max="1" width="9.140625" style="48"/>
    <col min="2" max="2" width="9.140625" style="713"/>
    <col min="3" max="3" width="9.140625" style="420"/>
    <col min="4" max="5" width="9.140625" style="291"/>
    <col min="6" max="16384" width="9.140625" style="48"/>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0"/>
  <sheetViews>
    <sheetView topLeftCell="A10" zoomScaleNormal="100" workbookViewId="0">
      <selection activeCell="B20" sqref="B20"/>
    </sheetView>
  </sheetViews>
  <sheetFormatPr defaultRowHeight="12.75" x14ac:dyDescent="0.2"/>
  <cols>
    <col min="1" max="1" width="26.42578125" customWidth="1"/>
    <col min="2" max="2" width="10.85546875" customWidth="1"/>
    <col min="5" max="5" width="7.42578125" customWidth="1"/>
    <col min="6" max="6" width="10.42578125" customWidth="1"/>
    <col min="7" max="7" width="11.7109375" customWidth="1"/>
  </cols>
  <sheetData>
    <row r="1" spans="1:20" x14ac:dyDescent="0.2">
      <c r="A1" s="1159" t="s">
        <v>678</v>
      </c>
      <c r="B1" s="1161"/>
      <c r="C1" s="1161"/>
      <c r="D1" s="1161"/>
      <c r="E1" s="1161"/>
      <c r="F1" s="1161"/>
      <c r="G1" s="1161"/>
      <c r="H1" s="1161"/>
      <c r="I1" s="1161"/>
      <c r="J1" s="1161"/>
    </row>
    <row r="2" spans="1:20" ht="37.5" customHeight="1" x14ac:dyDescent="0.2">
      <c r="A2" s="1161"/>
      <c r="B2" s="1161"/>
      <c r="C2" s="1161"/>
      <c r="D2" s="1161"/>
      <c r="E2" s="1161"/>
      <c r="F2" s="1161"/>
      <c r="G2" s="1161"/>
      <c r="H2" s="1161"/>
      <c r="I2" s="1161"/>
      <c r="J2" s="1161"/>
    </row>
    <row r="3" spans="1:20" ht="21.75" customHeight="1" x14ac:dyDescent="0.2">
      <c r="A3" s="177" t="str">
        <f>Bird_Office!C2</f>
        <v>Vino Pre-Restoration</v>
      </c>
      <c r="B3" s="77" t="s">
        <v>676</v>
      </c>
      <c r="G3" s="77" t="s">
        <v>644</v>
      </c>
      <c r="K3" s="77"/>
      <c r="L3" s="77" t="s">
        <v>27</v>
      </c>
    </row>
    <row r="4" spans="1:20" ht="19.5" customHeight="1" x14ac:dyDescent="0.2">
      <c r="A4" t="s">
        <v>429</v>
      </c>
      <c r="B4" s="748" t="s">
        <v>430</v>
      </c>
      <c r="C4" s="749" t="s">
        <v>431</v>
      </c>
      <c r="D4" s="749" t="s">
        <v>432</v>
      </c>
      <c r="E4" s="817" t="s">
        <v>677</v>
      </c>
      <c r="F4" s="749"/>
      <c r="G4" s="748" t="s">
        <v>430</v>
      </c>
      <c r="H4" s="749" t="s">
        <v>431</v>
      </c>
      <c r="I4" s="749" t="s">
        <v>432</v>
      </c>
      <c r="J4" s="817" t="s">
        <v>677</v>
      </c>
    </row>
    <row r="5" spans="1:20" x14ac:dyDescent="0.2">
      <c r="A5" s="1125" t="str">
        <f>IF(ISBLANK(VEG_DATA!A13),"",VEG_DATA!A13)</f>
        <v/>
      </c>
      <c r="B5" s="818" t="str">
        <f>IF(A5="","",Bird_Score!G$45)</f>
        <v/>
      </c>
      <c r="C5" s="818" t="str">
        <f>IF(A5="","",FISH_SCORE!G$40)</f>
        <v/>
      </c>
      <c r="D5" s="818"/>
      <c r="E5" s="827"/>
      <c r="F5" s="181"/>
      <c r="G5" s="829" t="str">
        <f>+IFERROR(Bird_Score!G$46,"")</f>
        <v/>
      </c>
      <c r="H5" s="829" t="str">
        <f>IFERROR(FISH_SCORE!G$42,"")</f>
        <v/>
      </c>
      <c r="I5" s="818" t="s">
        <v>3</v>
      </c>
      <c r="J5" s="818" t="s">
        <v>3</v>
      </c>
      <c r="P5" s="11"/>
      <c r="Q5" s="11"/>
      <c r="R5" s="11"/>
      <c r="S5" s="11"/>
      <c r="T5" s="11"/>
    </row>
    <row r="6" spans="1:20" x14ac:dyDescent="0.2">
      <c r="A6" s="1125" t="str">
        <f>IF(ISBLANK(VEG_DATA!A43),"",VEG_DATA!A43)</f>
        <v/>
      </c>
      <c r="B6" s="818" t="str">
        <f>IF(A6="","",(Bird_Score!J$45))</f>
        <v/>
      </c>
      <c r="C6" s="818" t="str">
        <f>IF(A6="","",(FISH_SCORE!J$40))</f>
        <v/>
      </c>
      <c r="D6" s="818"/>
      <c r="E6" s="827"/>
      <c r="F6" s="181"/>
      <c r="G6" s="829" t="str">
        <f>IFERROR(Bird_Score!J$46,"")</f>
        <v/>
      </c>
      <c r="H6" s="829" t="str">
        <f>IFERROR(FISH_SCORE!J$42,"")</f>
        <v/>
      </c>
      <c r="I6" s="818" t="s">
        <v>3</v>
      </c>
      <c r="J6" s="818" t="s">
        <v>3</v>
      </c>
      <c r="P6" s="11"/>
      <c r="Q6" s="11"/>
      <c r="R6" s="11"/>
      <c r="S6" s="11"/>
      <c r="T6" s="11"/>
    </row>
    <row r="7" spans="1:20" x14ac:dyDescent="0.2">
      <c r="A7" s="1127" t="str">
        <f>IF(ISBLANK(VEG_DATA!A73),"",VEG_DATA!A73)</f>
        <v/>
      </c>
      <c r="B7" s="818" t="str">
        <f>IF(A7="","",Bird_Score!M$45)</f>
        <v/>
      </c>
      <c r="C7" s="818" t="str">
        <f>IF(A7="","",FISH_SCORE!M$40)</f>
        <v/>
      </c>
      <c r="D7" s="818"/>
      <c r="E7" s="827"/>
      <c r="F7" s="181"/>
      <c r="G7" s="829" t="str">
        <f>IFERROR(Bird_Score!M$46,"")</f>
        <v/>
      </c>
      <c r="H7" s="829" t="str">
        <f>IFERROR(FISH_SCORE!M$42,"")</f>
        <v/>
      </c>
      <c r="I7" s="818" t="s">
        <v>3</v>
      </c>
      <c r="J7" s="818" t="s">
        <v>3</v>
      </c>
      <c r="P7" s="11"/>
      <c r="Q7" s="11"/>
      <c r="R7" s="11"/>
      <c r="S7" s="11"/>
      <c r="T7" s="11"/>
    </row>
    <row r="8" spans="1:20" x14ac:dyDescent="0.2">
      <c r="A8" s="1127" t="str">
        <f>IF(ISBLANK(VEG_DATA!A103),"",VEG_DATA!A103)</f>
        <v/>
      </c>
      <c r="B8" s="818" t="str">
        <f>IF(A8="","",Bird_Score!P$45)</f>
        <v/>
      </c>
      <c r="C8" s="818" t="str">
        <f>IF(A8="","",FISH_SCORE!P$40)</f>
        <v/>
      </c>
      <c r="D8" s="818"/>
      <c r="E8" s="827"/>
      <c r="F8" s="181"/>
      <c r="G8" s="829" t="str">
        <f>IFERROR(Bird_Score!P$46,"")</f>
        <v/>
      </c>
      <c r="H8" s="829" t="str">
        <f>IFERROR(FISH_SCORE!P$42,"")</f>
        <v/>
      </c>
      <c r="I8" s="818" t="s">
        <v>3</v>
      </c>
      <c r="J8" s="818" t="s">
        <v>3</v>
      </c>
      <c r="P8" s="11"/>
      <c r="Q8" s="11"/>
      <c r="R8" s="11"/>
      <c r="S8" s="11"/>
      <c r="T8" s="11"/>
    </row>
    <row r="9" spans="1:20" x14ac:dyDescent="0.2">
      <c r="A9" s="1127" t="str">
        <f>IF(ISBLANK(VEG_DATA!A133),"",VEG_DATA!A133)</f>
        <v/>
      </c>
      <c r="B9" s="818" t="str">
        <f>IF(A9="","",Bird_Score!S$45)</f>
        <v/>
      </c>
      <c r="C9" s="818" t="str">
        <f>IF(A9="","",FISH_SCORE!S$40)</f>
        <v/>
      </c>
      <c r="D9" s="818"/>
      <c r="E9" s="827"/>
      <c r="F9" s="181"/>
      <c r="G9" s="829" t="str">
        <f>IFERROR(Bird_Score!S$46,"")</f>
        <v/>
      </c>
      <c r="H9" s="829" t="str">
        <f>IFERROR(FISH_SCORE!S$42,"")</f>
        <v/>
      </c>
      <c r="I9" s="818" t="s">
        <v>3</v>
      </c>
      <c r="J9" s="818" t="s">
        <v>3</v>
      </c>
      <c r="P9" s="11"/>
      <c r="Q9" s="11"/>
      <c r="R9" s="11"/>
      <c r="S9" s="11"/>
      <c r="T9" s="11"/>
    </row>
    <row r="10" spans="1:20" x14ac:dyDescent="0.2">
      <c r="A10" s="1127" t="str">
        <f>IF(ISBLANK(VEG_DATA!A163),"",VEG_DATA!A163)</f>
        <v/>
      </c>
      <c r="B10" s="818" t="str">
        <f>IF(A10="","",Bird_Score!V$45)</f>
        <v/>
      </c>
      <c r="C10" s="818" t="str">
        <f>IF(A10="","",FISH_SCORE!V$40)</f>
        <v/>
      </c>
      <c r="D10" s="818"/>
      <c r="E10" s="827"/>
      <c r="F10" s="181"/>
      <c r="G10" s="829" t="str">
        <f>IFERROR(Bird_Score!V$46,"")</f>
        <v/>
      </c>
      <c r="H10" s="829" t="str">
        <f>IFERROR(FISH_SCORE!V$42,"")</f>
        <v/>
      </c>
      <c r="I10" s="818" t="s">
        <v>3</v>
      </c>
      <c r="J10" s="818" t="s">
        <v>3</v>
      </c>
      <c r="P10" s="11"/>
      <c r="Q10" s="11"/>
      <c r="R10" s="11"/>
      <c r="S10" s="11"/>
      <c r="T10" s="11"/>
    </row>
    <row r="11" spans="1:20" x14ac:dyDescent="0.2">
      <c r="A11" s="1127" t="str">
        <f>IF(ISBLANK(VEG_DATA!A193),"",VEG_DATA!A193)</f>
        <v/>
      </c>
      <c r="B11" s="818" t="str">
        <f>IF(A11="","",Bird_Score!Y$45)</f>
        <v/>
      </c>
      <c r="C11" s="818" t="str">
        <f>IF(A11="","",FISH_SCORE!Y$40)</f>
        <v/>
      </c>
      <c r="D11" s="818"/>
      <c r="E11" s="827"/>
      <c r="F11" s="181"/>
      <c r="G11" s="829" t="str">
        <f>IFERROR(Bird_Score!Y$46,"")</f>
        <v/>
      </c>
      <c r="H11" s="829" t="str">
        <f>IFERROR(FISH_SCORE!Y$42,"")</f>
        <v/>
      </c>
      <c r="I11" s="818" t="s">
        <v>3</v>
      </c>
      <c r="J11" s="818" t="s">
        <v>3</v>
      </c>
      <c r="P11" s="11"/>
      <c r="Q11" s="11" t="s">
        <v>27</v>
      </c>
      <c r="R11" s="11"/>
      <c r="S11" s="11"/>
      <c r="T11" s="11"/>
    </row>
    <row r="12" spans="1:20" x14ac:dyDescent="0.2">
      <c r="A12" s="1127" t="str">
        <f>IF(ISBLANK(VEG_DATA!A223),"",VEG_DATA!A223)</f>
        <v/>
      </c>
      <c r="B12" s="818" t="str">
        <f>IF(A12="","",Bird_Score!AB$45)</f>
        <v/>
      </c>
      <c r="C12" s="818" t="str">
        <f>IF(A12="","",FISH_SCORE!AB$40)</f>
        <v/>
      </c>
      <c r="D12" s="818"/>
      <c r="E12" s="827"/>
      <c r="F12" s="181"/>
      <c r="G12" s="829" t="str">
        <f>IFERROR(Bird_Score!AB$46,"")</f>
        <v/>
      </c>
      <c r="H12" s="829" t="str">
        <f>IFERROR(FISH_SCORE!AB$42,"")</f>
        <v/>
      </c>
      <c r="I12" s="818" t="s">
        <v>3</v>
      </c>
      <c r="J12" s="818" t="s">
        <v>3</v>
      </c>
      <c r="P12" s="11"/>
      <c r="Q12" s="11"/>
      <c r="R12" s="11"/>
      <c r="S12" s="11"/>
      <c r="T12" s="11"/>
    </row>
    <row r="13" spans="1:20" x14ac:dyDescent="0.2">
      <c r="A13" s="1127" t="str">
        <f>IF(ISBLANK(VEG_DATA!A253),"",VEG_DATA!A253)</f>
        <v/>
      </c>
      <c r="B13" s="818" t="str">
        <f>IF(A13="","",Bird_Score!AE$45)</f>
        <v/>
      </c>
      <c r="C13" s="818" t="str">
        <f>IF(A13="","",FISH_SCORE!AE$40)</f>
        <v/>
      </c>
      <c r="D13" s="818"/>
      <c r="E13" s="827"/>
      <c r="F13" s="182"/>
      <c r="G13" s="829" t="str">
        <f>IFERROR(Bird_Score!AE$46,"")</f>
        <v/>
      </c>
      <c r="H13" s="829" t="str">
        <f>IFERROR(FISH_SCORE!AE$42,"")</f>
        <v/>
      </c>
      <c r="I13" s="818" t="s">
        <v>3</v>
      </c>
      <c r="J13" s="818" t="s">
        <v>3</v>
      </c>
      <c r="P13" s="11"/>
      <c r="Q13" s="11"/>
      <c r="R13" s="11"/>
      <c r="S13" s="11"/>
      <c r="T13" s="11"/>
    </row>
    <row r="14" spans="1:20" x14ac:dyDescent="0.2">
      <c r="A14" s="1127" t="str">
        <f>IF(ISBLANK(VEG_DATA!A283),"",VEG_DATA!A283)</f>
        <v/>
      </c>
      <c r="B14" s="818" t="str">
        <f>IF(A14="","",Bird_Score!AH$45)</f>
        <v/>
      </c>
      <c r="C14" s="818" t="str">
        <f>IF(A14="","",FISH_SCORE!AH$40)</f>
        <v/>
      </c>
      <c r="D14" s="818"/>
      <c r="E14" s="827"/>
      <c r="F14" s="182"/>
      <c r="G14" s="829" t="str">
        <f>IFERROR(Bird_Score!AH$46,"")</f>
        <v/>
      </c>
      <c r="H14" s="829" t="str">
        <f>+FISH_SCORE!AH$42</f>
        <v/>
      </c>
      <c r="I14" s="818" t="s">
        <v>3</v>
      </c>
      <c r="J14" s="818" t="s">
        <v>3</v>
      </c>
      <c r="P14" s="11"/>
      <c r="Q14" s="11"/>
      <c r="R14" s="11"/>
      <c r="S14" s="11"/>
      <c r="T14" s="11"/>
    </row>
    <row r="15" spans="1:20" x14ac:dyDescent="0.2">
      <c r="A15" s="450"/>
      <c r="B15" s="182"/>
      <c r="C15" s="123"/>
      <c r="D15" s="123"/>
      <c r="E15" s="746"/>
      <c r="F15" s="182"/>
      <c r="G15" s="747"/>
      <c r="H15" s="747"/>
      <c r="I15" s="123"/>
      <c r="P15" s="11"/>
      <c r="Q15" s="11"/>
      <c r="R15" s="11"/>
      <c r="S15" s="11"/>
      <c r="T15" s="11"/>
    </row>
    <row r="16" spans="1:20" ht="15.75" customHeight="1" x14ac:dyDescent="0.2">
      <c r="A16" s="752" t="s">
        <v>646</v>
      </c>
      <c r="B16" s="818">
        <f>+Bird_Score!F16</f>
        <v>0</v>
      </c>
      <c r="C16" s="818">
        <f>+FISH_SCORE!F14</f>
        <v>0</v>
      </c>
      <c r="D16" s="818" t="s">
        <v>3</v>
      </c>
      <c r="E16" s="827"/>
      <c r="F16" s="182"/>
      <c r="P16" s="11"/>
      <c r="Q16" s="11"/>
      <c r="R16" s="11"/>
      <c r="S16" s="11"/>
      <c r="T16" s="11"/>
    </row>
    <row r="17" spans="1:20" ht="45.75" customHeight="1" x14ac:dyDescent="0.2">
      <c r="A17" s="79" t="s">
        <v>648</v>
      </c>
      <c r="B17" s="818">
        <f>IF(G14="",(IF(G13="",(IF(G12="",(IF(G11="",(IF(G10="",(IF(G9="",(IF(G8="",(IF(G7="",(IF(G6="",(IF(G5="",0%,G5)),G6)),G7)),G8)),G9)),G10)),G11)),G12)),G13)),G14)</f>
        <v>0</v>
      </c>
      <c r="C17" s="820">
        <f>IF(H14="",(IF(H13="",(IF(H12="",(IF(H11="",(IF(H10="",(IF(H9="",(IF(H8="",(IF(H7="",(IF(H6="",(IF(H5="",0%,H5)),H6)),H7)),H8)),H9)),H10)),H11)),H12)),H13)),H14)</f>
        <v>0</v>
      </c>
      <c r="D17" s="821">
        <f>+IFERROR(FLOOD_SCORE!J42,"")</f>
        <v>0</v>
      </c>
      <c r="E17" s="848"/>
      <c r="I17" s="1119"/>
      <c r="P17" s="11"/>
      <c r="Q17" s="11"/>
      <c r="R17" s="11"/>
      <c r="S17" s="11"/>
      <c r="T17" s="11"/>
    </row>
    <row r="18" spans="1:20" x14ac:dyDescent="0.2">
      <c r="A18" s="77" t="s">
        <v>630</v>
      </c>
      <c r="B18" s="820">
        <f>+Bird_Score!F12</f>
        <v>0</v>
      </c>
      <c r="C18" s="818">
        <f>+FISH_SCORE!F9</f>
        <v>0</v>
      </c>
      <c r="D18" s="818">
        <f>+FLOOD_SCORE!J41</f>
        <v>0</v>
      </c>
      <c r="E18" s="830"/>
      <c r="P18" s="11"/>
      <c r="Q18" s="11"/>
      <c r="R18" s="11"/>
      <c r="S18" s="11"/>
      <c r="T18" s="11"/>
    </row>
    <row r="19" spans="1:20" x14ac:dyDescent="0.2">
      <c r="A19" s="52" t="s">
        <v>631</v>
      </c>
      <c r="B19" s="819">
        <f>+B17*0.7+B18*0.3</f>
        <v>0</v>
      </c>
      <c r="C19" s="819">
        <f>C17*C18</f>
        <v>0</v>
      </c>
      <c r="D19" s="819">
        <f>IFERROR(D18*D17,"")</f>
        <v>0</v>
      </c>
      <c r="E19" s="849"/>
      <c r="F19" s="77"/>
      <c r="P19" s="11"/>
      <c r="Q19" s="11"/>
      <c r="R19" s="11"/>
      <c r="S19" s="11"/>
      <c r="T19" s="11"/>
    </row>
    <row r="20" spans="1:20" x14ac:dyDescent="0.2">
      <c r="A20" t="s">
        <v>647</v>
      </c>
      <c r="B20" s="822">
        <f>Bird_Score!D6</f>
        <v>0</v>
      </c>
      <c r="C20" s="823">
        <f>+FISH_SCORE!F2</f>
        <v>0</v>
      </c>
      <c r="D20" s="823">
        <f>+FLOOD_SCORE!D5</f>
        <v>0</v>
      </c>
      <c r="E20" s="831"/>
      <c r="P20" s="11"/>
      <c r="Q20" s="11"/>
      <c r="R20" s="11"/>
      <c r="S20" s="11"/>
      <c r="T20" s="11"/>
    </row>
    <row r="21" spans="1:20" x14ac:dyDescent="0.2">
      <c r="B21" s="194"/>
      <c r="C21" s="452"/>
      <c r="D21" s="124"/>
      <c r="E21" s="746"/>
      <c r="P21" s="11"/>
      <c r="Q21" s="11"/>
      <c r="R21" s="11"/>
      <c r="S21" s="11"/>
      <c r="T21" s="11"/>
    </row>
    <row r="22" spans="1:20" x14ac:dyDescent="0.2">
      <c r="A22" t="s">
        <v>433</v>
      </c>
      <c r="B22" s="824">
        <f>+B19*B20</f>
        <v>0</v>
      </c>
      <c r="C22" s="824">
        <f>+IFERROR(C19*C20,"NA")</f>
        <v>0</v>
      </c>
      <c r="D22" s="824">
        <f>IFERROR(D19*D20,"")</f>
        <v>0</v>
      </c>
      <c r="E22" s="824">
        <f t="shared" ref="E22" si="0">+E19*E20</f>
        <v>0</v>
      </c>
      <c r="P22" s="11"/>
      <c r="Q22" s="11"/>
      <c r="R22" s="11"/>
      <c r="S22" s="11"/>
      <c r="T22" s="11"/>
    </row>
    <row r="23" spans="1:20" x14ac:dyDescent="0.2">
      <c r="A23" s="77" t="s">
        <v>636</v>
      </c>
      <c r="B23" s="825" t="s">
        <v>439</v>
      </c>
      <c r="C23" s="826" t="s">
        <v>637</v>
      </c>
      <c r="D23" s="826" t="s">
        <v>780</v>
      </c>
      <c r="E23" s="825" t="s">
        <v>439</v>
      </c>
      <c r="P23" s="11"/>
      <c r="Q23" s="11"/>
      <c r="R23" s="11"/>
      <c r="S23" s="11"/>
      <c r="T23" s="11"/>
    </row>
    <row r="24" spans="1:20" x14ac:dyDescent="0.2">
      <c r="A24" s="77"/>
      <c r="B24" s="195"/>
      <c r="C24" s="453"/>
      <c r="D24" s="125"/>
      <c r="F24" s="745" t="s">
        <v>639</v>
      </c>
      <c r="P24" s="11"/>
      <c r="Q24" s="11"/>
      <c r="R24" s="11"/>
      <c r="S24" s="11"/>
      <c r="T24" s="11"/>
    </row>
    <row r="25" spans="1:20" x14ac:dyDescent="0.2">
      <c r="A25" s="77" t="s">
        <v>640</v>
      </c>
      <c r="B25" s="827" t="str">
        <f>+IFERROR(B18/$F$25,"")</f>
        <v/>
      </c>
      <c r="C25" s="827" t="str">
        <f>+IFERROR(C18/$F$25,"")</f>
        <v/>
      </c>
      <c r="D25" s="827" t="str">
        <f>IFERROR(D18/$F$25,"")</f>
        <v/>
      </c>
      <c r="E25" s="827" t="str">
        <f>IFERROR(E18/$F$25,"")</f>
        <v/>
      </c>
      <c r="F25" s="828">
        <f>IFERROR(SUM(B$18:E$18),"")</f>
        <v>0</v>
      </c>
      <c r="P25" s="11"/>
      <c r="Q25" s="11"/>
      <c r="R25" s="11"/>
      <c r="S25" s="11"/>
      <c r="T25" s="11"/>
    </row>
    <row r="26" spans="1:20" x14ac:dyDescent="0.2">
      <c r="B26" s="11"/>
      <c r="C26" s="11"/>
      <c r="D26" s="11"/>
      <c r="P26" s="11"/>
      <c r="Q26" s="11"/>
      <c r="R26" s="11"/>
      <c r="S26" s="11"/>
      <c r="T26" s="11"/>
    </row>
    <row r="27" spans="1:20" x14ac:dyDescent="0.2">
      <c r="B27" s="3"/>
      <c r="P27" s="11"/>
      <c r="Q27" s="11"/>
      <c r="R27" s="11"/>
      <c r="S27" s="11"/>
      <c r="T27" s="11"/>
    </row>
    <row r="28" spans="1:20" ht="18" x14ac:dyDescent="0.25">
      <c r="A28" s="832" t="s">
        <v>638</v>
      </c>
      <c r="B28" s="833"/>
      <c r="C28" s="834"/>
      <c r="D28" s="834"/>
      <c r="E28" s="834"/>
      <c r="F28" s="1118" t="str">
        <f>IFERROR((B25*B19+C25*C19+D25*D19+E25*E19),"")</f>
        <v/>
      </c>
      <c r="P28" s="11"/>
      <c r="Q28" s="11"/>
      <c r="R28" s="11"/>
      <c r="S28" s="11"/>
      <c r="T28" s="11"/>
    </row>
    <row r="29" spans="1:20" ht="18" x14ac:dyDescent="0.25">
      <c r="A29" s="832" t="s">
        <v>679</v>
      </c>
      <c r="B29" s="833"/>
      <c r="C29" s="834"/>
      <c r="D29" s="834"/>
      <c r="E29" s="834"/>
      <c r="F29" s="850" t="str">
        <f>IFERROR(C20*F28,"")</f>
        <v/>
      </c>
      <c r="P29" s="11"/>
      <c r="Q29" s="11"/>
      <c r="R29" s="11"/>
      <c r="S29" s="11"/>
      <c r="T29" s="11"/>
    </row>
    <row r="30" spans="1:20" x14ac:dyDescent="0.2">
      <c r="B30" s="3"/>
    </row>
  </sheetData>
  <mergeCells count="1">
    <mergeCell ref="A1:J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sheetPr>
  <dimension ref="A1:CO328"/>
  <sheetViews>
    <sheetView topLeftCell="A11" zoomScaleNormal="100" zoomScaleSheetLayoutView="100" workbookViewId="0">
      <pane ySplit="2" topLeftCell="A13" activePane="bottomLeft" state="frozen"/>
      <selection activeCell="A11" sqref="A11"/>
      <selection pane="bottomLeft" activeCell="C283" sqref="C283:R285"/>
    </sheetView>
  </sheetViews>
  <sheetFormatPr defaultRowHeight="12.75" x14ac:dyDescent="0.2"/>
  <cols>
    <col min="1" max="1" width="8.5703125" style="225" customWidth="1"/>
    <col min="2" max="2" width="8.85546875" customWidth="1"/>
    <col min="3" max="3" width="8.85546875" style="225" customWidth="1"/>
    <col min="4" max="4" width="8.5703125" style="17" customWidth="1"/>
    <col min="5" max="5" width="12.85546875" style="840" customWidth="1"/>
    <col min="6" max="6" width="8.42578125" style="17" customWidth="1"/>
    <col min="7" max="7" width="9" style="17" customWidth="1"/>
    <col min="8" max="8" width="13.140625" style="17" customWidth="1"/>
    <col min="9" max="9" width="9.42578125" style="17" customWidth="1"/>
    <col min="10" max="10" width="7.5703125" style="17" customWidth="1"/>
    <col min="11" max="11" width="6.140625" style="17" customWidth="1"/>
    <col min="12" max="12" width="8.7109375" style="17" customWidth="1"/>
    <col min="13" max="13" width="8.85546875" style="17" customWidth="1"/>
    <col min="14" max="14" width="9" style="17" customWidth="1"/>
    <col min="15" max="15" width="10" style="17" customWidth="1"/>
    <col min="16" max="16" width="8.28515625" style="17" customWidth="1"/>
    <col min="17" max="17" width="11.5703125" style="17" customWidth="1"/>
    <col min="18" max="18" width="7.5703125" style="17" customWidth="1"/>
    <col min="19" max="19" width="19.28515625" style="225" customWidth="1"/>
    <col min="20" max="20" width="20.140625" style="225" customWidth="1"/>
    <col min="21" max="21" width="11.5703125" style="606" customWidth="1"/>
    <col min="22" max="22" width="10.5703125" style="606" customWidth="1"/>
    <col min="23" max="23" width="12.140625" style="313" customWidth="1"/>
    <col min="24" max="25" width="8.28515625" style="313" customWidth="1"/>
    <col min="26" max="26" width="7" style="313" customWidth="1"/>
    <col min="27" max="27" width="9.85546875" style="313" customWidth="1"/>
    <col min="28" max="28" width="11" style="313" customWidth="1"/>
    <col min="29" max="29" width="13.42578125" style="313" customWidth="1"/>
    <col min="30" max="30" width="15.140625" style="313" customWidth="1"/>
    <col min="31" max="31" width="12.5703125" style="313" customWidth="1"/>
    <col min="32" max="33" width="7" style="553" customWidth="1"/>
    <col min="34" max="34" width="11.42578125" style="553" customWidth="1"/>
    <col min="35" max="35" width="1.5703125" style="583" customWidth="1"/>
    <col min="36" max="36" width="9.7109375" style="582" customWidth="1"/>
    <col min="37" max="37" width="9.28515625" style="582" customWidth="1"/>
    <col min="38" max="38" width="8.42578125" style="582" customWidth="1"/>
    <col min="39" max="39" width="8.140625" style="582" customWidth="1"/>
    <col min="40" max="43" width="5.85546875" style="582" customWidth="1"/>
    <col min="44" max="44" width="9.140625" style="582" customWidth="1"/>
    <col min="45" max="46" width="6.5703125" style="582" customWidth="1"/>
    <col min="47" max="47" width="13.140625" style="582" customWidth="1"/>
    <col min="48" max="48" width="12.85546875" style="582" customWidth="1"/>
    <col min="49" max="50" width="6.5703125" style="582" customWidth="1"/>
    <col min="51" max="51" width="7.7109375" style="583" customWidth="1"/>
    <col min="52" max="53" width="8.42578125" style="583" customWidth="1"/>
    <col min="54" max="54" width="8.28515625" style="583" customWidth="1"/>
    <col min="55" max="55" width="13.140625" style="583" customWidth="1"/>
    <col min="56" max="56" width="5.42578125" style="583" customWidth="1"/>
    <col min="57" max="57" width="7.7109375" style="583" customWidth="1"/>
    <col min="58" max="58" width="4.85546875" style="582" customWidth="1"/>
    <col min="59" max="62" width="6.5703125" style="582" customWidth="1"/>
    <col min="63" max="66" width="6.85546875" style="582" customWidth="1"/>
    <col min="67" max="67" width="9.140625" style="582" customWidth="1"/>
    <col min="68" max="72" width="7.42578125" style="582" customWidth="1"/>
    <col min="73" max="74" width="8.140625" style="605" customWidth="1"/>
    <col min="75" max="75" width="12.42578125" style="560" customWidth="1"/>
    <col min="76" max="76" width="13.5703125" style="560" customWidth="1"/>
    <col min="77" max="77" width="12.7109375" style="560" customWidth="1"/>
    <col min="78" max="78" width="11.28515625" style="560" customWidth="1"/>
    <col min="79" max="79" width="8.140625" style="560" customWidth="1"/>
    <col min="80" max="80" width="1.140625" style="608" customWidth="1"/>
    <col min="81" max="81" width="11" style="628" customWidth="1"/>
    <col min="82" max="86" width="9.140625" style="483"/>
    <col min="87" max="87" width="10.7109375" style="483" customWidth="1"/>
    <col min="88" max="88" width="1.7109375" style="483" customWidth="1"/>
    <col min="89" max="89" width="9.5703125" style="483" customWidth="1"/>
    <col min="90" max="92" width="9.140625" style="483"/>
    <col min="93" max="93" width="9.140625" style="553"/>
  </cols>
  <sheetData>
    <row r="1" spans="1:93" s="128" customFormat="1" ht="20.25" customHeight="1" thickBot="1" x14ac:dyDescent="0.25">
      <c r="A1" s="1173" t="s">
        <v>68</v>
      </c>
      <c r="B1" s="1173"/>
      <c r="C1" s="1171" t="s">
        <v>685</v>
      </c>
      <c r="D1" s="1171"/>
      <c r="E1" s="1171"/>
      <c r="F1" s="1171"/>
      <c r="G1" s="115" t="s">
        <v>29</v>
      </c>
      <c r="H1" s="1178"/>
      <c r="I1" s="1178"/>
      <c r="K1" s="1167" t="s">
        <v>27</v>
      </c>
      <c r="L1" s="1168"/>
      <c r="M1" s="1168"/>
      <c r="N1" s="45"/>
      <c r="O1" s="45"/>
      <c r="P1" s="45"/>
      <c r="Q1" s="45"/>
      <c r="R1" s="45"/>
      <c r="S1" s="216"/>
      <c r="T1" s="217"/>
      <c r="U1" s="469"/>
      <c r="V1" s="469"/>
      <c r="W1" s="470"/>
      <c r="X1" s="470"/>
      <c r="Y1" s="470"/>
      <c r="Z1" s="471"/>
      <c r="AA1" s="471"/>
      <c r="AB1" s="471"/>
      <c r="AC1" s="290"/>
      <c r="AD1" s="290"/>
      <c r="AE1" s="290"/>
      <c r="AF1" s="472"/>
      <c r="AG1" s="472"/>
      <c r="AH1" s="472"/>
      <c r="AI1" s="472"/>
      <c r="AJ1" s="472"/>
      <c r="AK1" s="472"/>
      <c r="AL1" s="851"/>
      <c r="AM1" s="851"/>
      <c r="AN1" s="851"/>
      <c r="AO1" s="851"/>
      <c r="AP1" s="851"/>
      <c r="AQ1" s="851"/>
      <c r="AR1" s="851"/>
      <c r="AS1" s="851"/>
      <c r="AT1" s="851"/>
      <c r="AU1" s="851"/>
      <c r="AV1" s="851"/>
      <c r="AW1" s="851"/>
      <c r="AX1" s="851"/>
      <c r="AY1" s="851"/>
      <c r="AZ1" s="851"/>
      <c r="BA1" s="851"/>
      <c r="BB1" s="851"/>
      <c r="BC1" s="851"/>
      <c r="BD1" s="851"/>
      <c r="BE1" s="461"/>
      <c r="BF1" s="104"/>
      <c r="BG1" s="469"/>
      <c r="BH1" s="1174"/>
      <c r="BI1" s="1174"/>
      <c r="BJ1" s="104"/>
      <c r="BK1" s="104"/>
      <c r="BL1" s="104"/>
      <c r="BM1" s="104"/>
      <c r="BN1" s="104"/>
      <c r="BO1" s="104"/>
      <c r="BP1" s="104"/>
      <c r="BQ1" s="104"/>
      <c r="BR1" s="104"/>
      <c r="BS1" s="104"/>
      <c r="BT1" s="104"/>
      <c r="BU1" s="104"/>
      <c r="BV1" s="468"/>
      <c r="BW1" s="473"/>
      <c r="BX1" s="474"/>
      <c r="BY1" s="473"/>
      <c r="BZ1" s="474"/>
      <c r="CA1" s="473"/>
      <c r="CB1" s="475"/>
      <c r="CC1" s="620"/>
      <c r="CD1" s="476"/>
      <c r="CE1" s="476"/>
      <c r="CF1" s="476"/>
      <c r="CG1" s="476"/>
      <c r="CH1" s="476"/>
      <c r="CI1" s="476"/>
      <c r="CJ1" s="476"/>
      <c r="CK1" s="476"/>
      <c r="CL1" s="476"/>
      <c r="CM1" s="476"/>
      <c r="CN1" s="476"/>
      <c r="CO1" s="472"/>
    </row>
    <row r="2" spans="1:93" s="129" customFormat="1" ht="21.75" customHeight="1" thickBot="1" x14ac:dyDescent="0.25">
      <c r="A2" s="1173" t="s">
        <v>69</v>
      </c>
      <c r="B2" s="1173"/>
      <c r="C2" s="1179" t="s">
        <v>684</v>
      </c>
      <c r="D2" s="1179"/>
      <c r="E2" s="1179"/>
      <c r="F2" s="1179"/>
      <c r="G2" s="127"/>
      <c r="H2" s="127"/>
      <c r="I2" s="127"/>
      <c r="J2" s="127"/>
      <c r="K2" s="127"/>
      <c r="L2" s="127"/>
      <c r="M2" s="127"/>
      <c r="N2" s="127"/>
      <c r="O2" s="127"/>
      <c r="P2" s="127"/>
      <c r="Q2" s="127"/>
      <c r="R2" s="127"/>
      <c r="S2" s="1172" t="s">
        <v>390</v>
      </c>
      <c r="T2" s="1172"/>
      <c r="U2" s="1172"/>
      <c r="V2" s="1172"/>
      <c r="W2" s="1172"/>
      <c r="X2" s="1172"/>
      <c r="Y2" s="1172"/>
      <c r="Z2" s="1172"/>
      <c r="AA2" s="1172"/>
      <c r="AB2" s="478"/>
      <c r="AC2" s="478"/>
      <c r="AD2" s="478"/>
      <c r="AE2" s="478"/>
      <c r="AF2" s="477"/>
      <c r="AG2" s="477"/>
      <c r="AH2" s="477"/>
      <c r="AI2" s="104"/>
      <c r="AJ2" s="477"/>
      <c r="AK2" s="477"/>
      <c r="AL2" s="851"/>
      <c r="AM2" s="851"/>
      <c r="AN2" s="851"/>
      <c r="AO2" s="851"/>
      <c r="AP2" s="851"/>
      <c r="AQ2" s="851"/>
      <c r="AR2" s="851"/>
      <c r="AS2" s="851"/>
      <c r="AT2" s="851"/>
      <c r="AU2" s="851"/>
      <c r="AV2" s="851"/>
      <c r="AW2" s="851"/>
      <c r="AX2" s="851"/>
      <c r="AY2" s="851"/>
      <c r="AZ2" s="851"/>
      <c r="BA2" s="851"/>
      <c r="BB2" s="851"/>
      <c r="BC2" s="851"/>
      <c r="BD2" s="851"/>
      <c r="BE2" s="461"/>
      <c r="BF2" s="477"/>
      <c r="BG2" s="477"/>
      <c r="BH2" s="477"/>
      <c r="BI2" s="477"/>
      <c r="BJ2" s="477"/>
      <c r="BK2" s="477"/>
      <c r="BL2" s="477"/>
      <c r="BM2" s="477"/>
      <c r="BN2" s="477"/>
      <c r="BO2" s="477"/>
      <c r="BP2" s="477"/>
      <c r="BQ2" s="104"/>
      <c r="BR2" s="104"/>
      <c r="BS2" s="104"/>
      <c r="BT2" s="104"/>
      <c r="BU2" s="104"/>
      <c r="BV2" s="468"/>
      <c r="BW2" s="473"/>
      <c r="BX2" s="474"/>
      <c r="BY2" s="473"/>
      <c r="BZ2" s="474"/>
      <c r="CA2" s="473"/>
      <c r="CB2" s="475"/>
      <c r="CC2" s="620"/>
      <c r="CD2" s="479"/>
      <c r="CE2" s="479"/>
      <c r="CF2" s="479"/>
      <c r="CG2" s="479"/>
      <c r="CH2" s="479"/>
      <c r="CI2" s="479"/>
      <c r="CJ2" s="479"/>
      <c r="CK2" s="479"/>
      <c r="CL2" s="479"/>
      <c r="CM2" s="479"/>
      <c r="CN2" s="479"/>
      <c r="CO2" s="480"/>
    </row>
    <row r="3" spans="1:93" s="5" customFormat="1" ht="42.75" customHeight="1" x14ac:dyDescent="0.2">
      <c r="A3" s="1170" t="s">
        <v>682</v>
      </c>
      <c r="B3" s="1170"/>
      <c r="C3" s="1170"/>
      <c r="D3" s="1170"/>
      <c r="E3" s="1170"/>
      <c r="F3" s="1170"/>
      <c r="G3" s="1170"/>
      <c r="H3" s="1170"/>
      <c r="I3" s="1170"/>
      <c r="J3" s="1170"/>
      <c r="K3" s="1170"/>
      <c r="L3" s="1170"/>
      <c r="M3" s="1170"/>
      <c r="N3" s="1170"/>
      <c r="O3" s="1170"/>
      <c r="P3" s="1170"/>
      <c r="Q3" s="1170"/>
      <c r="R3" s="126"/>
      <c r="S3" s="1172"/>
      <c r="T3" s="1172"/>
      <c r="U3" s="1172"/>
      <c r="V3" s="1172"/>
      <c r="W3" s="1172"/>
      <c r="X3" s="1172"/>
      <c r="Y3" s="1172"/>
      <c r="Z3" s="1172"/>
      <c r="AA3" s="1172"/>
      <c r="AB3" s="462"/>
      <c r="AC3" s="462"/>
      <c r="AD3" s="462"/>
      <c r="AE3" s="462"/>
      <c r="AF3" s="455"/>
      <c r="AG3" s="455"/>
      <c r="AH3" s="455"/>
      <c r="AI3" s="463"/>
      <c r="AJ3" s="464"/>
      <c r="AK3" s="465"/>
      <c r="AL3" s="851"/>
      <c r="AM3" s="851"/>
      <c r="AN3" s="851"/>
      <c r="AO3" s="851"/>
      <c r="AP3" s="851"/>
      <c r="AQ3" s="851"/>
      <c r="AR3" s="851"/>
      <c r="AS3" s="851"/>
      <c r="AT3" s="851"/>
      <c r="AU3" s="851"/>
      <c r="AV3" s="851"/>
      <c r="AW3" s="851"/>
      <c r="AX3" s="851"/>
      <c r="AY3" s="851"/>
      <c r="AZ3" s="851"/>
      <c r="BA3" s="851"/>
      <c r="BB3" s="851"/>
      <c r="BC3" s="851"/>
      <c r="BD3" s="851"/>
      <c r="BE3" s="461"/>
      <c r="BF3" s="477"/>
      <c r="BG3" s="465"/>
      <c r="BH3" s="465"/>
      <c r="BI3" s="465"/>
      <c r="BJ3" s="465"/>
      <c r="BK3" s="465"/>
      <c r="BL3" s="465"/>
      <c r="BM3" s="465"/>
      <c r="BN3" s="465"/>
      <c r="BO3" s="465"/>
      <c r="BP3" s="465"/>
      <c r="BQ3" s="468"/>
      <c r="BR3" s="468"/>
      <c r="BS3" s="468"/>
      <c r="BT3" s="468"/>
      <c r="BU3" s="468"/>
      <c r="BV3" s="468"/>
      <c r="BW3" s="474"/>
      <c r="BX3" s="474"/>
      <c r="BY3" s="474"/>
      <c r="BZ3" s="474"/>
      <c r="CA3" s="474"/>
      <c r="CB3" s="481"/>
      <c r="CC3" s="621"/>
      <c r="CD3" s="483"/>
      <c r="CE3" s="483"/>
      <c r="CF3" s="483"/>
      <c r="CG3" s="483"/>
      <c r="CH3" s="483"/>
      <c r="CI3" s="483"/>
      <c r="CJ3" s="483"/>
      <c r="CK3" s="483"/>
      <c r="CL3" s="483"/>
      <c r="CM3" s="483"/>
      <c r="CN3" s="483"/>
      <c r="CO3" s="484"/>
    </row>
    <row r="4" spans="1:93" s="5" customFormat="1" ht="56.25" customHeight="1" x14ac:dyDescent="0.2">
      <c r="A4" s="1170"/>
      <c r="B4" s="1170"/>
      <c r="C4" s="1170"/>
      <c r="D4" s="1170"/>
      <c r="E4" s="1170"/>
      <c r="F4" s="1170"/>
      <c r="G4" s="1170"/>
      <c r="H4" s="1170"/>
      <c r="I4" s="1170"/>
      <c r="J4" s="1170"/>
      <c r="K4" s="1170"/>
      <c r="L4" s="1170"/>
      <c r="M4" s="1170"/>
      <c r="N4" s="1170"/>
      <c r="O4" s="1170"/>
      <c r="P4" s="1170"/>
      <c r="Q4" s="1170"/>
      <c r="R4" s="126"/>
      <c r="S4" s="1172" t="s">
        <v>389</v>
      </c>
      <c r="T4" s="1172"/>
      <c r="U4" s="1172"/>
      <c r="V4" s="1172"/>
      <c r="W4" s="1172"/>
      <c r="X4" s="1172"/>
      <c r="Y4" s="1172"/>
      <c r="Z4" s="1172"/>
      <c r="AA4" s="1172"/>
      <c r="AB4" s="462"/>
      <c r="AC4" s="462"/>
      <c r="AD4" s="462"/>
      <c r="AE4" s="462"/>
      <c r="AF4" s="455"/>
      <c r="AG4" s="455"/>
      <c r="AH4" s="455"/>
      <c r="AI4" s="463"/>
      <c r="AJ4" s="464"/>
      <c r="AK4" s="465"/>
      <c r="AL4" s="851"/>
      <c r="AM4" s="851"/>
      <c r="AN4" s="851"/>
      <c r="AO4" s="851"/>
      <c r="AP4" s="851"/>
      <c r="AQ4" s="851"/>
      <c r="AR4" s="851"/>
      <c r="AS4" s="851"/>
      <c r="AT4" s="851"/>
      <c r="AU4" s="851"/>
      <c r="AV4" s="851"/>
      <c r="AW4" s="851"/>
      <c r="AX4" s="851"/>
      <c r="AY4" s="851"/>
      <c r="AZ4" s="851"/>
      <c r="BA4" s="851"/>
      <c r="BB4" s="851"/>
      <c r="BC4" s="851"/>
      <c r="BD4" s="851"/>
      <c r="BE4" s="461"/>
      <c r="BF4" s="477"/>
      <c r="BG4" s="465"/>
      <c r="BH4" s="465"/>
      <c r="BI4" s="465"/>
      <c r="BJ4" s="465"/>
      <c r="BK4" s="465"/>
      <c r="BL4" s="465"/>
      <c r="BM4" s="465"/>
      <c r="BN4" s="465"/>
      <c r="BO4" s="465"/>
      <c r="BP4" s="465"/>
      <c r="BQ4" s="104"/>
      <c r="BR4" s="104"/>
      <c r="BS4" s="468"/>
      <c r="BT4" s="468"/>
      <c r="BU4" s="468"/>
      <c r="BV4" s="468"/>
      <c r="BW4" s="474"/>
      <c r="BX4" s="474"/>
      <c r="BY4" s="474"/>
      <c r="BZ4" s="474"/>
      <c r="CA4" s="474"/>
      <c r="CB4" s="481"/>
      <c r="CC4" s="621"/>
      <c r="CD4" s="483"/>
      <c r="CE4" s="483"/>
      <c r="CF4" s="483"/>
      <c r="CG4" s="483"/>
      <c r="CH4" s="483"/>
      <c r="CI4" s="483"/>
      <c r="CJ4" s="483"/>
      <c r="CK4" s="483"/>
      <c r="CL4" s="483"/>
      <c r="CM4" s="483"/>
      <c r="CN4" s="483"/>
      <c r="CO4" s="484"/>
    </row>
    <row r="5" spans="1:93" s="5" customFormat="1" ht="51" customHeight="1" x14ac:dyDescent="0.2">
      <c r="A5" s="1169" t="s">
        <v>654</v>
      </c>
      <c r="B5" s="1169"/>
      <c r="C5" s="1169"/>
      <c r="D5" s="1169"/>
      <c r="E5" s="1169"/>
      <c r="F5" s="1169"/>
      <c r="G5" s="1169"/>
      <c r="H5" s="1169"/>
      <c r="I5" s="1169"/>
      <c r="J5" s="1169"/>
      <c r="K5" s="1169"/>
      <c r="L5" s="1169"/>
      <c r="M5" s="1169"/>
      <c r="N5" s="1169"/>
      <c r="O5" s="1169"/>
      <c r="P5" s="1169"/>
      <c r="Q5" s="1169"/>
      <c r="R5" s="114"/>
      <c r="S5" s="1172" t="s">
        <v>395</v>
      </c>
      <c r="T5" s="1172"/>
      <c r="U5" s="1172"/>
      <c r="V5" s="1172"/>
      <c r="W5" s="1172"/>
      <c r="X5" s="1172"/>
      <c r="Y5" s="1172"/>
      <c r="Z5" s="1172"/>
      <c r="AA5" s="1172"/>
      <c r="AB5" s="462"/>
      <c r="AC5" s="462"/>
      <c r="AD5" s="462"/>
      <c r="AE5" s="462"/>
      <c r="AF5" s="455"/>
      <c r="AG5" s="455"/>
      <c r="AH5" s="455"/>
      <c r="AI5" s="463"/>
      <c r="AJ5" s="464"/>
      <c r="AK5" s="465"/>
      <c r="AL5" s="851"/>
      <c r="AM5" s="851"/>
      <c r="AN5" s="851"/>
      <c r="AO5" s="851"/>
      <c r="AP5" s="851"/>
      <c r="AQ5" s="851"/>
      <c r="AR5" s="851"/>
      <c r="AS5" s="851"/>
      <c r="AT5" s="851"/>
      <c r="AU5" s="851"/>
      <c r="AV5" s="851"/>
      <c r="AW5" s="851"/>
      <c r="AX5" s="851"/>
      <c r="AY5" s="851"/>
      <c r="AZ5" s="851"/>
      <c r="BA5" s="851"/>
      <c r="BB5" s="851"/>
      <c r="BC5" s="851"/>
      <c r="BD5" s="851"/>
      <c r="BE5" s="461"/>
      <c r="BF5" s="477"/>
      <c r="BG5" s="465"/>
      <c r="BH5" s="465"/>
      <c r="BI5" s="465"/>
      <c r="BJ5" s="465"/>
      <c r="BK5" s="465"/>
      <c r="BL5" s="465"/>
      <c r="BM5" s="465"/>
      <c r="BN5" s="465"/>
      <c r="BO5" s="465"/>
      <c r="BP5" s="465"/>
      <c r="BQ5" s="104"/>
      <c r="BR5" s="104"/>
      <c r="BS5" s="468"/>
      <c r="BT5" s="468"/>
      <c r="BU5" s="468"/>
      <c r="BV5" s="468"/>
      <c r="BW5" s="474"/>
      <c r="BX5" s="474"/>
      <c r="BY5" s="474"/>
      <c r="BZ5" s="474"/>
      <c r="CA5" s="474"/>
      <c r="CB5" s="481"/>
      <c r="CC5" s="621"/>
      <c r="CD5" s="483"/>
      <c r="CE5" s="483"/>
      <c r="CF5" s="483"/>
      <c r="CG5" s="483"/>
      <c r="CH5" s="483"/>
      <c r="CI5" s="483"/>
      <c r="CJ5" s="483"/>
      <c r="CK5" s="483"/>
      <c r="CL5" s="483"/>
      <c r="CM5" s="483"/>
      <c r="CN5" s="483"/>
      <c r="CO5" s="484"/>
    </row>
    <row r="6" spans="1:93" s="5" customFormat="1" ht="35.25" customHeight="1" x14ac:dyDescent="0.2">
      <c r="A6" s="1175" t="s">
        <v>561</v>
      </c>
      <c r="B6" s="1175"/>
      <c r="C6" s="1175"/>
      <c r="D6" s="1175"/>
      <c r="E6" s="1175"/>
      <c r="F6" s="1176" t="s">
        <v>383</v>
      </c>
      <c r="G6" s="1176"/>
      <c r="H6" s="1176"/>
      <c r="I6" s="1176"/>
      <c r="J6" s="1176"/>
      <c r="K6" s="1177" t="s">
        <v>384</v>
      </c>
      <c r="L6" s="1177"/>
      <c r="M6" s="1177"/>
      <c r="N6" s="1177"/>
      <c r="O6" s="1177"/>
      <c r="P6" s="1177"/>
      <c r="Q6" s="1177"/>
      <c r="R6" s="90"/>
      <c r="S6" s="1172" t="s">
        <v>388</v>
      </c>
      <c r="T6" s="1172"/>
      <c r="U6" s="1172"/>
      <c r="V6" s="1172"/>
      <c r="W6" s="1172"/>
      <c r="X6" s="1172"/>
      <c r="Y6" s="1172"/>
      <c r="Z6" s="1172"/>
      <c r="AA6" s="1172"/>
      <c r="AB6" s="466"/>
      <c r="AC6" s="466"/>
      <c r="AD6" s="466"/>
      <c r="AE6" s="466"/>
      <c r="AF6" s="467"/>
      <c r="AG6" s="467"/>
      <c r="AH6" s="467"/>
      <c r="AI6" s="468"/>
      <c r="AJ6" s="465"/>
      <c r="AK6" s="465"/>
      <c r="AL6" s="851"/>
      <c r="AM6" s="851"/>
      <c r="AN6" s="851"/>
      <c r="AO6" s="851"/>
      <c r="AP6" s="851"/>
      <c r="AQ6" s="851"/>
      <c r="AR6" s="851"/>
      <c r="AS6" s="851"/>
      <c r="AT6" s="851"/>
      <c r="AU6" s="851"/>
      <c r="AV6" s="851"/>
      <c r="AW6" s="851"/>
      <c r="AX6" s="851"/>
      <c r="AY6" s="851"/>
      <c r="AZ6" s="851"/>
      <c r="BA6" s="851"/>
      <c r="BB6" s="851"/>
      <c r="BC6" s="851"/>
      <c r="BD6" s="851"/>
      <c r="BE6" s="461"/>
      <c r="BF6" s="477"/>
      <c r="BG6" s="465"/>
      <c r="BH6" s="465"/>
      <c r="BI6" s="465"/>
      <c r="BJ6" s="465"/>
      <c r="BK6" s="465"/>
      <c r="BL6" s="465"/>
      <c r="BM6" s="465"/>
      <c r="BN6" s="465"/>
      <c r="BO6" s="465"/>
      <c r="BP6" s="465"/>
      <c r="BQ6" s="485"/>
      <c r="BR6" s="485"/>
      <c r="BS6" s="468"/>
      <c r="BT6" s="468"/>
      <c r="BU6" s="468"/>
      <c r="BV6" s="468"/>
      <c r="BW6" s="474"/>
      <c r="BX6" s="474"/>
      <c r="BY6" s="474"/>
      <c r="BZ6" s="474"/>
      <c r="CA6" s="474"/>
      <c r="CB6" s="481"/>
      <c r="CC6" s="621"/>
      <c r="CD6" s="483"/>
      <c r="CE6" s="483"/>
      <c r="CF6" s="483"/>
      <c r="CG6" s="483"/>
      <c r="CH6" s="483"/>
      <c r="CI6" s="483"/>
      <c r="CJ6" s="483"/>
      <c r="CK6" s="483"/>
      <c r="CL6" s="483"/>
      <c r="CM6" s="483"/>
      <c r="CN6" s="483"/>
      <c r="CO6" s="484"/>
    </row>
    <row r="7" spans="1:93" s="5" customFormat="1" ht="15" customHeight="1" thickBot="1" x14ac:dyDescent="0.25">
      <c r="A7" s="226" t="s">
        <v>385</v>
      </c>
      <c r="B7" s="116"/>
      <c r="C7" s="226"/>
      <c r="D7" s="117"/>
      <c r="E7" s="117"/>
      <c r="F7" s="117"/>
      <c r="G7" s="117"/>
      <c r="H7" s="117"/>
      <c r="I7" s="117"/>
      <c r="J7" s="52"/>
      <c r="K7" s="49"/>
      <c r="M7" s="49"/>
      <c r="N7" s="49"/>
      <c r="O7" s="130">
        <v>1</v>
      </c>
      <c r="P7" s="49"/>
      <c r="Q7" s="49"/>
      <c r="R7" s="49"/>
      <c r="S7" s="218"/>
      <c r="T7" s="219"/>
      <c r="U7" s="486"/>
      <c r="V7" s="487"/>
      <c r="W7" s="488"/>
      <c r="X7" s="489"/>
      <c r="Y7" s="488"/>
      <c r="Z7" s="489"/>
      <c r="AA7" s="490"/>
      <c r="AB7" s="489"/>
      <c r="AC7" s="490"/>
      <c r="AD7" s="490"/>
      <c r="AE7" s="490"/>
      <c r="AF7" s="491"/>
      <c r="AG7" s="491"/>
      <c r="AH7" s="491"/>
      <c r="AI7" s="104"/>
      <c r="AJ7" s="477"/>
      <c r="AK7" s="477"/>
      <c r="AL7" s="851"/>
      <c r="AM7" s="851"/>
      <c r="AN7" s="851"/>
      <c r="AO7" s="851"/>
      <c r="AP7" s="851"/>
      <c r="AQ7" s="851"/>
      <c r="AR7" s="851"/>
      <c r="AS7" s="851"/>
      <c r="AT7" s="851"/>
      <c r="AU7" s="851"/>
      <c r="AV7" s="851"/>
      <c r="AW7" s="851"/>
      <c r="AX7" s="851"/>
      <c r="AY7" s="851"/>
      <c r="AZ7" s="851"/>
      <c r="BA7" s="851"/>
      <c r="BB7" s="851"/>
      <c r="BC7" s="851"/>
      <c r="BD7" s="851"/>
      <c r="BE7" s="461"/>
      <c r="BF7" s="477"/>
      <c r="BG7" s="477"/>
      <c r="BH7" s="477"/>
      <c r="BI7" s="477"/>
      <c r="BJ7" s="477"/>
      <c r="BK7" s="477"/>
      <c r="BL7" s="477"/>
      <c r="BM7" s="477"/>
      <c r="BN7" s="477"/>
      <c r="BO7" s="477"/>
      <c r="BP7" s="477"/>
      <c r="BQ7" s="104"/>
      <c r="BR7" s="104"/>
      <c r="BS7" s="104"/>
      <c r="BT7" s="104"/>
      <c r="BU7" s="104"/>
      <c r="BV7" s="104"/>
      <c r="BW7" s="473"/>
      <c r="BX7" s="473"/>
      <c r="BY7" s="473"/>
      <c r="BZ7" s="473"/>
      <c r="CA7" s="473"/>
      <c r="CB7" s="492"/>
      <c r="CC7" s="621"/>
      <c r="CD7" s="483"/>
      <c r="CE7" s="483"/>
      <c r="CF7" s="483"/>
      <c r="CG7" s="483"/>
      <c r="CH7" s="483"/>
      <c r="CI7" s="483"/>
      <c r="CJ7" s="483"/>
      <c r="CK7" s="483"/>
      <c r="CL7" s="483"/>
      <c r="CM7" s="483"/>
      <c r="CN7" s="483"/>
      <c r="CO7" s="484"/>
    </row>
    <row r="8" spans="1:93" s="5" customFormat="1" ht="17.25" customHeight="1" thickBot="1" x14ac:dyDescent="0.25">
      <c r="A8" s="226" t="s">
        <v>781</v>
      </c>
      <c r="B8" s="116"/>
      <c r="C8" s="226"/>
      <c r="D8" s="117"/>
      <c r="E8" s="117"/>
      <c r="F8" s="117"/>
      <c r="G8" s="117"/>
      <c r="H8" s="117"/>
      <c r="I8" s="117"/>
      <c r="J8" s="52"/>
      <c r="K8" s="49"/>
      <c r="M8" s="49"/>
      <c r="N8" s="49"/>
      <c r="O8" s="131">
        <v>20</v>
      </c>
      <c r="P8" s="49"/>
      <c r="Q8" s="49"/>
      <c r="R8" s="49"/>
      <c r="S8" s="218"/>
      <c r="T8" s="219"/>
      <c r="U8" s="487"/>
      <c r="V8" s="487"/>
      <c r="W8" s="488"/>
      <c r="X8" s="489"/>
      <c r="Y8" s="488"/>
      <c r="Z8" s="489"/>
      <c r="AA8" s="490"/>
      <c r="AB8" s="489"/>
      <c r="AC8" s="490"/>
      <c r="AD8" s="490"/>
      <c r="AE8" s="490"/>
      <c r="AF8" s="491"/>
      <c r="AG8" s="491"/>
      <c r="AH8" s="491"/>
      <c r="AI8" s="104"/>
      <c r="AJ8" s="477"/>
      <c r="AK8" s="477"/>
      <c r="AL8" s="477"/>
      <c r="AM8" s="477"/>
      <c r="AN8" s="477"/>
      <c r="AO8" s="477"/>
      <c r="AP8" s="477"/>
      <c r="AQ8" s="477"/>
      <c r="AR8" s="477"/>
      <c r="AS8" s="477"/>
      <c r="AT8" s="477"/>
      <c r="AU8" s="477"/>
      <c r="AV8" s="477"/>
      <c r="AW8" s="477"/>
      <c r="AX8" s="477"/>
      <c r="AY8" s="104"/>
      <c r="AZ8" s="104"/>
      <c r="BA8" s="104"/>
      <c r="BB8" s="104"/>
      <c r="BC8" s="104"/>
      <c r="BD8" s="104"/>
      <c r="BE8" s="104"/>
      <c r="BF8" s="477"/>
      <c r="BG8" s="477"/>
      <c r="BH8" s="477"/>
      <c r="BI8" s="477"/>
      <c r="BJ8" s="477"/>
      <c r="BK8" s="477"/>
      <c r="BL8" s="477"/>
      <c r="BM8" s="477"/>
      <c r="BN8" s="477"/>
      <c r="BO8" s="477"/>
      <c r="BP8" s="477"/>
      <c r="BQ8" s="104"/>
      <c r="BR8" s="104"/>
      <c r="BS8" s="104"/>
      <c r="BT8" s="104"/>
      <c r="BU8" s="104"/>
      <c r="BV8" s="104"/>
      <c r="BW8" s="473"/>
      <c r="BX8" s="473"/>
      <c r="BY8" s="473"/>
      <c r="BZ8" s="473"/>
      <c r="CA8" s="473"/>
      <c r="CB8" s="492"/>
      <c r="CC8" s="621"/>
      <c r="CD8" s="483"/>
      <c r="CE8" s="483"/>
      <c r="CF8" s="483"/>
      <c r="CG8" s="483"/>
      <c r="CH8" s="483"/>
      <c r="CI8" s="483"/>
      <c r="CJ8" s="483"/>
      <c r="CK8" s="483"/>
      <c r="CL8" s="483"/>
      <c r="CM8" s="483"/>
      <c r="CN8" s="483"/>
      <c r="CO8" s="484"/>
    </row>
    <row r="9" spans="1:93" s="5" customFormat="1" ht="17.25" customHeight="1" thickBot="1" x14ac:dyDescent="0.25">
      <c r="A9" s="226" t="s">
        <v>515</v>
      </c>
      <c r="B9" s="116"/>
      <c r="C9" s="226"/>
      <c r="D9" s="117"/>
      <c r="E9" s="117"/>
      <c r="F9" s="117"/>
      <c r="G9" s="117"/>
      <c r="H9" s="117"/>
      <c r="I9" s="117"/>
      <c r="J9" s="52"/>
      <c r="K9" s="49"/>
      <c r="M9" s="49"/>
      <c r="N9" s="49"/>
      <c r="O9" s="131" t="s">
        <v>428</v>
      </c>
      <c r="P9" s="836" t="s">
        <v>27</v>
      </c>
      <c r="Q9" s="852" t="s">
        <v>27</v>
      </c>
      <c r="R9" s="49"/>
      <c r="S9" s="218"/>
      <c r="T9" s="219"/>
      <c r="U9" s="487"/>
      <c r="V9" s="487"/>
      <c r="W9" s="488"/>
      <c r="X9" s="323"/>
      <c r="Y9" s="488"/>
      <c r="Z9" s="323"/>
      <c r="AA9" s="490"/>
      <c r="AB9" s="323"/>
      <c r="AC9" s="493"/>
      <c r="AD9" s="493"/>
      <c r="AE9" s="493"/>
      <c r="AF9" s="491"/>
      <c r="AG9" s="491"/>
      <c r="AH9" s="491"/>
      <c r="AI9" s="104"/>
      <c r="AJ9" s="477"/>
      <c r="AK9" s="477"/>
      <c r="AL9" s="477"/>
      <c r="AM9" s="477"/>
      <c r="AN9" s="477"/>
      <c r="AO9" s="477"/>
      <c r="AP9" s="104"/>
      <c r="AQ9" s="477"/>
      <c r="AR9" s="477"/>
      <c r="AS9" s="477"/>
      <c r="AT9" s="477"/>
      <c r="AU9" s="477"/>
      <c r="AV9" s="477"/>
      <c r="AW9" s="477"/>
      <c r="AX9" s="477"/>
      <c r="AY9" s="104"/>
      <c r="AZ9" s="104"/>
      <c r="BA9" s="104"/>
      <c r="BB9" s="104"/>
      <c r="BC9" s="104"/>
      <c r="BD9" s="104"/>
      <c r="BE9" s="104"/>
      <c r="BF9" s="477"/>
      <c r="BG9" s="477"/>
      <c r="BH9" s="477"/>
      <c r="BI9" s="477"/>
      <c r="BJ9" s="477"/>
      <c r="BK9" s="477"/>
      <c r="BL9" s="477"/>
      <c r="BM9" s="477"/>
      <c r="BN9" s="477"/>
      <c r="BO9" s="477"/>
      <c r="BP9" s="477"/>
      <c r="BQ9" s="104"/>
      <c r="BR9" s="104"/>
      <c r="BS9" s="104"/>
      <c r="BT9" s="104"/>
      <c r="BU9" s="104"/>
      <c r="BV9" s="104"/>
      <c r="BW9" s="473"/>
      <c r="BX9" s="473"/>
      <c r="BY9" s="473"/>
      <c r="BZ9" s="473"/>
      <c r="CA9" s="473"/>
      <c r="CB9" s="492"/>
      <c r="CC9" s="621"/>
      <c r="CD9" s="482"/>
      <c r="CE9" s="482"/>
      <c r="CF9" s="482"/>
      <c r="CG9" s="494"/>
      <c r="CH9" s="494"/>
      <c r="CI9" s="482"/>
      <c r="CJ9" s="483"/>
      <c r="CK9" s="483"/>
      <c r="CL9" s="482"/>
      <c r="CM9" s="482"/>
      <c r="CN9" s="482"/>
      <c r="CO9" s="495"/>
    </row>
    <row r="10" spans="1:93" s="5" customFormat="1" ht="17.25" customHeight="1" x14ac:dyDescent="0.2">
      <c r="A10" s="226"/>
      <c r="B10" s="116"/>
      <c r="C10" s="226"/>
      <c r="D10" s="117"/>
      <c r="E10" s="117"/>
      <c r="F10" s="117"/>
      <c r="G10" s="117"/>
      <c r="H10" s="117"/>
      <c r="I10" s="117"/>
      <c r="J10" s="52"/>
      <c r="K10" s="49"/>
      <c r="M10" s="49"/>
      <c r="N10" s="49"/>
      <c r="O10" s="456"/>
      <c r="P10" s="49"/>
      <c r="Q10" s="49"/>
      <c r="R10" s="49"/>
      <c r="S10" s="218"/>
      <c r="T10" s="219"/>
      <c r="U10" s="487"/>
      <c r="V10" s="486"/>
      <c r="W10" s="496"/>
      <c r="X10" s="497"/>
      <c r="Y10" s="496"/>
      <c r="Z10" s="497"/>
      <c r="AA10" s="493"/>
      <c r="AB10" s="497"/>
      <c r="AC10" s="498"/>
      <c r="AD10" s="490"/>
      <c r="AE10" s="490"/>
      <c r="AF10" s="491"/>
      <c r="AG10" s="491"/>
      <c r="AH10" s="491"/>
      <c r="AI10" s="104"/>
      <c r="AJ10" s="477"/>
      <c r="AK10" s="477"/>
      <c r="AL10" s="477"/>
      <c r="AM10" s="477"/>
      <c r="AN10" s="477"/>
      <c r="AO10" s="477"/>
      <c r="AP10" s="477"/>
      <c r="AQ10" s="477"/>
      <c r="AR10" s="477"/>
      <c r="AS10" s="477"/>
      <c r="AT10" s="477"/>
      <c r="AU10" s="477"/>
      <c r="AV10" s="477"/>
      <c r="AW10" s="477"/>
      <c r="AX10" s="477"/>
      <c r="AY10" s="104"/>
      <c r="AZ10" s="104"/>
      <c r="BA10" s="499"/>
      <c r="BB10" s="104"/>
      <c r="BC10" s="104"/>
      <c r="BD10" s="104"/>
      <c r="BE10" s="104"/>
      <c r="BF10" s="477"/>
      <c r="BG10" s="477"/>
      <c r="BH10" s="477"/>
      <c r="BI10" s="477"/>
      <c r="BJ10" s="477"/>
      <c r="BK10" s="477"/>
      <c r="BL10" s="477"/>
      <c r="BM10" s="477"/>
      <c r="BN10" s="477"/>
      <c r="BO10" s="477"/>
      <c r="BP10" s="477"/>
      <c r="BQ10" s="104"/>
      <c r="BR10" s="104"/>
      <c r="BS10" s="104"/>
      <c r="BT10" s="104"/>
      <c r="BU10" s="104"/>
      <c r="BV10" s="104"/>
      <c r="BW10" s="473"/>
      <c r="BX10" s="479"/>
      <c r="BY10" s="473"/>
      <c r="BZ10" s="473"/>
      <c r="CA10" s="473"/>
      <c r="CB10" s="492"/>
      <c r="CC10" s="621"/>
      <c r="CD10" s="482"/>
      <c r="CE10" s="482"/>
      <c r="CF10" s="482"/>
      <c r="CG10" s="494"/>
      <c r="CH10" s="482"/>
      <c r="CI10" s="482"/>
      <c r="CJ10" s="483"/>
      <c r="CK10" s="483"/>
      <c r="CL10" s="482" t="s">
        <v>576</v>
      </c>
      <c r="CM10" s="482"/>
      <c r="CN10" s="482"/>
      <c r="CO10" s="495"/>
    </row>
    <row r="11" spans="1:93" s="183" customFormat="1" ht="87" customHeight="1" x14ac:dyDescent="0.2">
      <c r="A11" s="630" t="s">
        <v>73</v>
      </c>
      <c r="B11" s="631" t="s">
        <v>421</v>
      </c>
      <c r="C11" s="632" t="s">
        <v>114</v>
      </c>
      <c r="D11" s="633" t="s">
        <v>53</v>
      </c>
      <c r="E11" s="633" t="s">
        <v>499</v>
      </c>
      <c r="F11" s="633" t="s">
        <v>394</v>
      </c>
      <c r="G11" s="633" t="s">
        <v>242</v>
      </c>
      <c r="H11" s="633" t="s">
        <v>563</v>
      </c>
      <c r="I11" s="633" t="s">
        <v>236</v>
      </c>
      <c r="J11" s="633" t="s">
        <v>240</v>
      </c>
      <c r="K11" s="633" t="s">
        <v>238</v>
      </c>
      <c r="L11" s="633" t="s">
        <v>554</v>
      </c>
      <c r="M11" s="633" t="s">
        <v>241</v>
      </c>
      <c r="N11" s="633" t="s">
        <v>237</v>
      </c>
      <c r="O11" s="633" t="s">
        <v>243</v>
      </c>
      <c r="P11" s="633" t="s">
        <v>239</v>
      </c>
      <c r="Q11" s="633" t="s">
        <v>555</v>
      </c>
      <c r="R11" s="633" t="s">
        <v>244</v>
      </c>
      <c r="S11" s="634" t="s">
        <v>245</v>
      </c>
      <c r="T11" s="634" t="s">
        <v>256</v>
      </c>
      <c r="U11" s="635" t="s">
        <v>53</v>
      </c>
      <c r="V11" s="635" t="s">
        <v>396</v>
      </c>
      <c r="W11" s="636" t="s">
        <v>508</v>
      </c>
      <c r="X11" s="636" t="s">
        <v>509</v>
      </c>
      <c r="Y11" s="636" t="s">
        <v>510</v>
      </c>
      <c r="Z11" s="636" t="s">
        <v>512</v>
      </c>
      <c r="AA11" s="636" t="s">
        <v>513</v>
      </c>
      <c r="AB11" s="636" t="s">
        <v>514</v>
      </c>
      <c r="AC11" s="636" t="s">
        <v>506</v>
      </c>
      <c r="AD11" s="636" t="s">
        <v>507</v>
      </c>
      <c r="AE11" s="636" t="s">
        <v>511</v>
      </c>
      <c r="AF11" s="636" t="s">
        <v>503</v>
      </c>
      <c r="AG11" s="636" t="s">
        <v>504</v>
      </c>
      <c r="AH11" s="636" t="s">
        <v>505</v>
      </c>
      <c r="AI11" s="637"/>
      <c r="AJ11" s="637" t="s">
        <v>246</v>
      </c>
      <c r="AK11" s="637" t="s">
        <v>247</v>
      </c>
      <c r="AL11" s="638" t="s">
        <v>248</v>
      </c>
      <c r="AM11" s="638" t="s">
        <v>249</v>
      </c>
      <c r="AN11" s="639" t="s">
        <v>250</v>
      </c>
      <c r="AO11" s="637" t="s">
        <v>270</v>
      </c>
      <c r="AP11" s="637" t="s">
        <v>271</v>
      </c>
      <c r="AQ11" s="638" t="s">
        <v>251</v>
      </c>
      <c r="AR11" s="638" t="s">
        <v>14</v>
      </c>
      <c r="AS11" s="638" t="s">
        <v>252</v>
      </c>
      <c r="AT11" s="638" t="s">
        <v>253</v>
      </c>
      <c r="AU11" s="638" t="s">
        <v>579</v>
      </c>
      <c r="AV11" s="638" t="s">
        <v>578</v>
      </c>
      <c r="AW11" s="638" t="s">
        <v>254</v>
      </c>
      <c r="AX11" s="638" t="s">
        <v>255</v>
      </c>
      <c r="AY11" s="638" t="s">
        <v>391</v>
      </c>
      <c r="AZ11" s="638" t="s">
        <v>267</v>
      </c>
      <c r="BA11" s="638" t="s">
        <v>272</v>
      </c>
      <c r="BB11" s="638" t="s">
        <v>273</v>
      </c>
      <c r="BC11" s="637" t="s">
        <v>539</v>
      </c>
      <c r="BD11" s="638"/>
      <c r="BE11" s="637" t="s">
        <v>257</v>
      </c>
      <c r="BF11" s="637" t="s">
        <v>258</v>
      </c>
      <c r="BG11" s="638" t="s">
        <v>259</v>
      </c>
      <c r="BH11" s="638" t="s">
        <v>260</v>
      </c>
      <c r="BI11" s="639" t="s">
        <v>261</v>
      </c>
      <c r="BJ11" s="637" t="s">
        <v>275</v>
      </c>
      <c r="BK11" s="637" t="s">
        <v>274</v>
      </c>
      <c r="BL11" s="638" t="s">
        <v>262</v>
      </c>
      <c r="BM11" s="638" t="s">
        <v>14</v>
      </c>
      <c r="BN11" s="638" t="s">
        <v>263</v>
      </c>
      <c r="BO11" s="638" t="s">
        <v>264</v>
      </c>
      <c r="BP11" s="638" t="s">
        <v>542</v>
      </c>
      <c r="BQ11" s="638" t="s">
        <v>265</v>
      </c>
      <c r="BR11" s="638" t="s">
        <v>266</v>
      </c>
      <c r="BS11" s="638" t="s">
        <v>392</v>
      </c>
      <c r="BT11" s="638" t="s">
        <v>276</v>
      </c>
      <c r="BU11" s="638" t="s">
        <v>277</v>
      </c>
      <c r="BV11" s="638" t="s">
        <v>278</v>
      </c>
      <c r="BW11" s="638" t="s">
        <v>556</v>
      </c>
      <c r="BX11" s="638" t="s">
        <v>559</v>
      </c>
      <c r="BY11" s="638" t="s">
        <v>557</v>
      </c>
      <c r="BZ11" s="638" t="s">
        <v>558</v>
      </c>
      <c r="CA11" s="640" t="s">
        <v>543</v>
      </c>
      <c r="CB11" s="641"/>
      <c r="CC11" s="893" t="s">
        <v>279</v>
      </c>
      <c r="CD11" s="894" t="s">
        <v>280</v>
      </c>
      <c r="CE11" s="894" t="s">
        <v>281</v>
      </c>
      <c r="CF11" s="894" t="s">
        <v>282</v>
      </c>
      <c r="CG11" s="894" t="s">
        <v>283</v>
      </c>
      <c r="CH11" s="894" t="s">
        <v>284</v>
      </c>
      <c r="CI11" s="894" t="s">
        <v>545</v>
      </c>
      <c r="CJ11" s="642"/>
      <c r="CK11" s="642" t="s">
        <v>577</v>
      </c>
      <c r="CL11" s="641" t="s">
        <v>422</v>
      </c>
      <c r="CM11" s="641" t="s">
        <v>516</v>
      </c>
      <c r="CN11" s="641" t="s">
        <v>423</v>
      </c>
      <c r="CO11" s="643" t="s">
        <v>517</v>
      </c>
    </row>
    <row r="12" spans="1:93" s="16" customFormat="1" ht="27" customHeight="1" x14ac:dyDescent="0.2">
      <c r="A12" s="644" t="s">
        <v>5</v>
      </c>
      <c r="B12" s="645" t="s">
        <v>28</v>
      </c>
      <c r="C12" s="646" t="s">
        <v>5</v>
      </c>
      <c r="D12" s="647" t="s">
        <v>119</v>
      </c>
      <c r="E12" s="647" t="s">
        <v>498</v>
      </c>
      <c r="F12" s="647" t="s">
        <v>268</v>
      </c>
      <c r="G12" s="647" t="s">
        <v>60</v>
      </c>
      <c r="H12" s="647"/>
      <c r="I12" s="647" t="s">
        <v>28</v>
      </c>
      <c r="J12" s="647" t="s">
        <v>15</v>
      </c>
      <c r="K12" s="647" t="s">
        <v>269</v>
      </c>
      <c r="L12" s="647" t="s">
        <v>61</v>
      </c>
      <c r="M12" s="647" t="s">
        <v>5</v>
      </c>
      <c r="N12" s="647" t="s">
        <v>28</v>
      </c>
      <c r="O12" s="647" t="s">
        <v>15</v>
      </c>
      <c r="P12" s="647" t="s">
        <v>269</v>
      </c>
      <c r="Q12" s="647" t="s">
        <v>61</v>
      </c>
      <c r="R12" s="647" t="s">
        <v>5</v>
      </c>
      <c r="S12" s="648" t="s">
        <v>16</v>
      </c>
      <c r="T12" s="648" t="s">
        <v>16</v>
      </c>
      <c r="U12" s="649" t="s">
        <v>59</v>
      </c>
      <c r="V12" s="649" t="s">
        <v>5</v>
      </c>
      <c r="W12" s="650" t="s">
        <v>60</v>
      </c>
      <c r="X12" s="650" t="s">
        <v>60</v>
      </c>
      <c r="Y12" s="650" t="s">
        <v>60</v>
      </c>
      <c r="Z12" s="651" t="s">
        <v>60</v>
      </c>
      <c r="AA12" s="651" t="s">
        <v>60</v>
      </c>
      <c r="AB12" s="651" t="s">
        <v>60</v>
      </c>
      <c r="AC12" s="650" t="s">
        <v>60</v>
      </c>
      <c r="AD12" s="650" t="s">
        <v>60</v>
      </c>
      <c r="AE12" s="650"/>
      <c r="AF12" s="651" t="s">
        <v>60</v>
      </c>
      <c r="AG12" s="651" t="s">
        <v>60</v>
      </c>
      <c r="AH12" s="651" t="s">
        <v>60</v>
      </c>
      <c r="AI12" s="652"/>
      <c r="AJ12" s="652" t="s">
        <v>17</v>
      </c>
      <c r="AK12" s="652" t="s">
        <v>18</v>
      </c>
      <c r="AL12" s="653" t="s">
        <v>51</v>
      </c>
      <c r="AM12" s="654" t="s">
        <v>60</v>
      </c>
      <c r="AN12" s="655" t="s">
        <v>52</v>
      </c>
      <c r="AO12" s="656" t="s">
        <v>18</v>
      </c>
      <c r="AP12" s="656" t="s">
        <v>18</v>
      </c>
      <c r="AQ12" s="657" t="s">
        <v>60</v>
      </c>
      <c r="AR12" s="657" t="s">
        <v>18</v>
      </c>
      <c r="AS12" s="657" t="s">
        <v>18</v>
      </c>
      <c r="AT12" s="657" t="s">
        <v>17</v>
      </c>
      <c r="AU12" s="657" t="s">
        <v>538</v>
      </c>
      <c r="AV12" s="657" t="s">
        <v>59</v>
      </c>
      <c r="AW12" s="657" t="s">
        <v>18</v>
      </c>
      <c r="AX12" s="657" t="s">
        <v>59</v>
      </c>
      <c r="AY12" s="657" t="s">
        <v>59</v>
      </c>
      <c r="AZ12" s="657" t="s">
        <v>59</v>
      </c>
      <c r="BA12" s="657" t="s">
        <v>59</v>
      </c>
      <c r="BB12" s="657" t="s">
        <v>59</v>
      </c>
      <c r="BC12" s="652" t="s">
        <v>59</v>
      </c>
      <c r="BD12" s="658"/>
      <c r="BE12" s="652" t="s">
        <v>17</v>
      </c>
      <c r="BF12" s="652" t="s">
        <v>18</v>
      </c>
      <c r="BG12" s="653" t="s">
        <v>51</v>
      </c>
      <c r="BH12" s="654" t="s">
        <v>60</v>
      </c>
      <c r="BI12" s="655" t="s">
        <v>52</v>
      </c>
      <c r="BJ12" s="656" t="s">
        <v>18</v>
      </c>
      <c r="BK12" s="656" t="s">
        <v>18</v>
      </c>
      <c r="BL12" s="657" t="s">
        <v>60</v>
      </c>
      <c r="BM12" s="657" t="s">
        <v>18</v>
      </c>
      <c r="BN12" s="657" t="s">
        <v>18</v>
      </c>
      <c r="BO12" s="657" t="s">
        <v>17</v>
      </c>
      <c r="BP12" s="657" t="s">
        <v>538</v>
      </c>
      <c r="BQ12" s="657" t="s">
        <v>18</v>
      </c>
      <c r="BR12" s="657" t="s">
        <v>59</v>
      </c>
      <c r="BS12" s="657" t="s">
        <v>59</v>
      </c>
      <c r="BT12" s="657" t="s">
        <v>59</v>
      </c>
      <c r="BU12" s="657" t="s">
        <v>59</v>
      </c>
      <c r="BV12" s="657" t="s">
        <v>59</v>
      </c>
      <c r="BW12" s="659" t="s">
        <v>386</v>
      </c>
      <c r="BX12" s="659" t="s">
        <v>386</v>
      </c>
      <c r="BY12" s="659" t="s">
        <v>387</v>
      </c>
      <c r="BZ12" s="659" t="s">
        <v>387</v>
      </c>
      <c r="CA12" s="659" t="s">
        <v>59</v>
      </c>
      <c r="CB12" s="660"/>
      <c r="CC12" s="895" t="s">
        <v>59</v>
      </c>
      <c r="CD12" s="896" t="s">
        <v>59</v>
      </c>
      <c r="CE12" s="896" t="s">
        <v>59</v>
      </c>
      <c r="CF12" s="896" t="s">
        <v>59</v>
      </c>
      <c r="CG12" s="896" t="s">
        <v>386</v>
      </c>
      <c r="CH12" s="896" t="s">
        <v>387</v>
      </c>
      <c r="CI12" s="896" t="s">
        <v>59</v>
      </c>
      <c r="CJ12" s="661"/>
      <c r="CK12" s="661"/>
      <c r="CL12" s="660" t="s">
        <v>28</v>
      </c>
      <c r="CM12" s="660" t="s">
        <v>59</v>
      </c>
      <c r="CN12" s="660" t="s">
        <v>28</v>
      </c>
      <c r="CO12" s="662" t="s">
        <v>59</v>
      </c>
    </row>
    <row r="13" spans="1:93" x14ac:dyDescent="0.2">
      <c r="A13" s="230"/>
      <c r="B13" s="857"/>
      <c r="C13" s="230"/>
      <c r="D13" s="169"/>
      <c r="E13" s="165"/>
      <c r="F13" s="165"/>
      <c r="G13" s="165"/>
      <c r="H13" s="165"/>
      <c r="I13" s="166"/>
      <c r="J13" s="167"/>
      <c r="K13" s="166"/>
      <c r="L13" s="166"/>
      <c r="M13" s="167"/>
      <c r="N13" s="166"/>
      <c r="O13" s="166"/>
      <c r="P13" s="166"/>
      <c r="Q13" s="167"/>
      <c r="R13" s="167"/>
      <c r="S13" s="222" t="str">
        <f>IF(ISBLANK(A13),"",IF(ISNA(VLOOKUP(I13,Veg_Parameters!$A$3:$N$65,3,FALSE)),0,(VLOOKUP(I13,Veg_Parameters!$A$3:$N$65,3,FALSE))))</f>
        <v/>
      </c>
      <c r="T13" s="222" t="str">
        <f>IF(ISBLANK(N13),"",IF(ISNA(VLOOKUP(N13,Veg_Parameters!$A$3:$N$65,3,FALSE)),0,(VLOOKUP(N13,Veg_Parameters!$A$3:$N$65,3,FALSE))))</f>
        <v/>
      </c>
      <c r="U13" s="523">
        <f>IF(ISBLANK(A13),0,0.092903*D13)</f>
        <v>0</v>
      </c>
      <c r="V13" s="523">
        <f t="shared" ref="V13" si="0">IF(ISBLANK(A13),0, IF(F13="H", 5, IF(F13="M", 3, IF(F13="L", 1.5, 0))))</f>
        <v>0</v>
      </c>
      <c r="W13" s="524">
        <f>IF(ISBLANK(A13),0,IF(ISNA(VLOOKUP($I13,Veg_Parameters!$A$3:$N$65,10,FALSE)),0,(VLOOKUP($I13,Veg_Parameters!$A$3:$N$65,10,FALSE))))</f>
        <v>0</v>
      </c>
      <c r="X13" s="524">
        <f>IF(ISBLANK(A13),0,IF(ISNA(VLOOKUP($I13,Veg_Parameters!$A$3:$N$65,11,FALSE)),0,(VLOOKUP($I13,Veg_Parameters!$A$3:$N$65,11,FALSE))))</f>
        <v>0</v>
      </c>
      <c r="Y13" s="524">
        <f>IF(ISBLANK(A13),0,IF(ISNA(VLOOKUP($I13,Veg_Parameters!$A$3:$N$65,12,FALSE)),0,(VLOOKUP($I13,Veg_Parameters!$A$3:$N$65,12,FALSE))))</f>
        <v>0</v>
      </c>
      <c r="Z13" s="525">
        <f t="shared" ref="Z13:Z76" si="1">IF($E13="C",$W13,IF($E13="F",$X13,IF($E13="M",1,0)))</f>
        <v>0</v>
      </c>
      <c r="AA13" s="525">
        <f t="shared" ref="AA13" si="2">IF(ISBLANK(E13), 0, IF($O$9="L", $Y13, IF($O$9 = "H", 1, IF($O$9="M", 0.8, " "))))</f>
        <v>0</v>
      </c>
      <c r="AB13" s="525">
        <f t="shared" ref="AB13" si="3">IF(I13&gt;0, Z13*AA13, 0)</f>
        <v>0</v>
      </c>
      <c r="AC13" s="524">
        <f>IF(ISBLANK(N13),0,IF(ISNA(VLOOKUP($N13,Veg_Parameters!$A$3:$N$65,10,FALSE)),0,(VLOOKUP($N13,Veg_Parameters!$A$3:$N$65,10,FALSE))))</f>
        <v>0</v>
      </c>
      <c r="AD13" s="524">
        <f>IF(ISBLANK(N13),0,IF(ISNA(VLOOKUP($N13,Veg_Parameters!$A$3:$N$65,11,FALSE)),0,(VLOOKUP($N13,Veg_Parameters!$A$3:$N$65,11,FALSE))))</f>
        <v>0</v>
      </c>
      <c r="AE13" s="524">
        <f>IF(ISBLANK(N13), 0, IF(ISNA(VLOOKUP($N13,Veg_Parameters!$A$3:$N$65,12,FALSE)),0,(VLOOKUP($N13,Veg_Parameters!$A$3:$N$65,12,FALSE))))</f>
        <v>0</v>
      </c>
      <c r="AF13" s="523">
        <f t="shared" ref="AF13" si="4">IF(N13="", 0,IF($E13="C",W13,IF($E13="F",X13,IF($E13="M",1," "))))</f>
        <v>0</v>
      </c>
      <c r="AG13" s="523">
        <f t="shared" ref="AG13" si="5">IF(N13="", 0,IF($O$9="L", $AE13, IF($O$9 = "H", 1, IF($O$9="M", 0.8, ""))))</f>
        <v>0</v>
      </c>
      <c r="AH13" s="523">
        <f t="shared" ref="AH13" si="6">IF(N13&gt;0, AF13*AG13, 0)</f>
        <v>0</v>
      </c>
      <c r="AI13" s="526"/>
      <c r="AJ13" s="527">
        <f>AB13*(IF(ISNA(VLOOKUP($I13,Veg_Parameters!$A$3:$N$65,5,FALSE)),0,(VLOOKUP($I13,Veg_Parameters!$A$3:$N$65,5,FALSE))))</f>
        <v>0</v>
      </c>
      <c r="AK13" s="527">
        <f>IF(ISNA(VLOOKUP($I13,Veg_Parameters!$A$3:$N$65,4,FALSE)),0,(VLOOKUP($I13,Veg_Parameters!$A$3:$N$65,4,FALSE)))</f>
        <v>0</v>
      </c>
      <c r="AL13" s="527">
        <f>AB13*(IF(ISNA(VLOOKUP($I13,Veg_Parameters!$A$3:$N$65,7,FALSE)),0, (VLOOKUP($I13,Veg_Parameters!$A$3:$N$65,7,FALSE))))</f>
        <v>0</v>
      </c>
      <c r="AM13" s="528">
        <f>IF(ISNA(VLOOKUP($I13,Veg_Parameters!$A$3:$N$65,6,FALSE)), 0, (VLOOKUP($I13,Veg_Parameters!$A$3:$N$65,6,FALSE)))</f>
        <v>0</v>
      </c>
      <c r="AN13" s="529">
        <f t="shared" ref="AN13" si="7">IF($O$7=1,J13+$O$8,J13)</f>
        <v>20</v>
      </c>
      <c r="AO13" s="529">
        <f t="shared" ref="AO13" si="8">IF(AJ13&gt;0, AK13*(1-EXP(-AJ13*AN13/AK13)), 0)</f>
        <v>0</v>
      </c>
      <c r="AP13" s="529">
        <f t="shared" ref="AP13" si="9">IF(K13&gt;0, K13*0.3048, AO13)</f>
        <v>0</v>
      </c>
      <c r="AQ13" s="530">
        <f>IF(AL13&gt;0, AM13*(1-EXP(-AL13*AN13/AM13)), 0)</f>
        <v>0</v>
      </c>
      <c r="AR13" s="527" t="s">
        <v>3</v>
      </c>
      <c r="AS13" s="527">
        <f>IF(ISNA(VLOOKUP($I13,Veg_Parameters!$A$3:$N$65,8,FALSE)), 0, (VLOOKUP($I13,Veg_Parameters!$A$3:$N$65,8,FALSE)))</f>
        <v>0</v>
      </c>
      <c r="AT13" s="527">
        <f>AB13*(IF(ISNA(VLOOKUP($I13,Veg_Parameters!$A$3:$N$65,9,FALSE)), 0, (VLOOKUP($I13,Veg_Parameters!$A$3:$N$65,9,FALSE))))</f>
        <v>0</v>
      </c>
      <c r="AU13" s="527">
        <f>IF(ISBLANK(A13),0,VLOOKUP($I13,Veg_Parameters!$A$4:$U$65,21,))</f>
        <v>0</v>
      </c>
      <c r="AV13" s="527">
        <f>IF(OR(I13=3500,I13=3600),U13,0)</f>
        <v>0</v>
      </c>
      <c r="AW13" s="529">
        <f>IF(AT13&gt;0, AS13*(1-EXP(-AT13*AN13/AS13)),0)</f>
        <v>0</v>
      </c>
      <c r="AX13" s="529">
        <f>PI()*(0.5*AW13)^2</f>
        <v>0</v>
      </c>
      <c r="AY13" s="529">
        <f t="shared" ref="AY13" si="10">IF(AX13*L13*($D13/1000)&lt;$U13, AX13*L13*($D13/1000), $U13)</f>
        <v>0</v>
      </c>
      <c r="AZ13" s="529">
        <f>+IF(AP13&gt;4.6,AY13,0)</f>
        <v>0</v>
      </c>
      <c r="BA13" s="529">
        <f>IF(AND(AP13&gt;0.9,AP13&lt;4.6),AY13,IF(AP13&gt;4.6,0.5*AY13,0))</f>
        <v>0</v>
      </c>
      <c r="BB13" s="529">
        <f>IF(AND(AP13&gt;0,AP13&lt;0.9),AY13,IF(AND(AP13&gt;0.9,AP13&lt;4.6),AY13*0.5,IF(AP13&gt;4.6,AY13*0.25,0)))</f>
        <v>0</v>
      </c>
      <c r="BC13" s="529">
        <f t="shared" ref="BC13" si="11">IF(ISBLANK(A13),0,(AY13*AU13))</f>
        <v>0</v>
      </c>
      <c r="BD13" s="531"/>
      <c r="BE13" s="527">
        <f>AH13*(IF(ISNA(VLOOKUP($N13,Veg_Parameters!$A$3:$N$65,5,FALSE)),0,(VLOOKUP($N13,Veg_Parameters!$A$3:$N$65,5,FALSE))))</f>
        <v>0</v>
      </c>
      <c r="BF13" s="527">
        <f>IF(ISNA(VLOOKUP($N13,Veg_Parameters!$A$3:$N$65,4,FALSE)),0,(VLOOKUP($N13,Veg_Parameters!$A$3:$N$65,4,FALSE)))</f>
        <v>0</v>
      </c>
      <c r="BG13" s="527">
        <f>AH13*(IF(ISNA(VLOOKUP($N13,Veg_Parameters!$A$3:$N$65,7,FALSE)),0, (VLOOKUP($N13,Veg_Parameters!$A$3:$N$65,7,FALSE))))</f>
        <v>0</v>
      </c>
      <c r="BH13" s="527">
        <f>IF(ISNA(VLOOKUP($N13,Veg_Parameters!$A$3:$N$65,6,FALSE)), 0, (VLOOKUP($N13,Veg_Parameters!$A$3:$N$65,6,FALSE)))</f>
        <v>0</v>
      </c>
      <c r="BI13" s="529">
        <f t="shared" ref="BI13" si="12">IF($O$7=1,O13+$O$8,O13)</f>
        <v>20</v>
      </c>
      <c r="BJ13" s="529">
        <f>IF(BE13&gt;0, BF13*(1-EXP(-BE13*BI13/BF13)), 0)</f>
        <v>0</v>
      </c>
      <c r="BK13" s="529">
        <f t="shared" ref="BK13" si="13">IF(P13&gt;0, P13*0.3048, BJ13)</f>
        <v>0</v>
      </c>
      <c r="BL13" s="530">
        <f>IF(BG13&gt;0, BH13*(1-EXP(-BG13*BI13/BH13)), 0)</f>
        <v>0</v>
      </c>
      <c r="BM13" s="527" t="s">
        <v>3</v>
      </c>
      <c r="BN13" s="527">
        <f>IF(ISNA(VLOOKUP(N13,Veg_Parameters!$A$3:$N$65,8,FALSE)), 0, (VLOOKUP($N13,Veg_Parameters!$A$3:$N$65,8,FALSE)))</f>
        <v>0</v>
      </c>
      <c r="BO13" s="527">
        <f>AH13*(IF(ISNA(VLOOKUP($N13,Veg_Parameters!$A$3:$N$65,9,FALSE)), 0, (VLOOKUP($N13,Veg_Parameters!$A$3:$N$65,9,FALSE))))</f>
        <v>0</v>
      </c>
      <c r="BP13" s="527" t="str">
        <f>IF(ISBLANK(N13),"0",VLOOKUP($N13,Veg_Parameters!$A$4:$U$65,21,))</f>
        <v>0</v>
      </c>
      <c r="BQ13" s="529">
        <f>IF(BO13&gt;0, BN13*(1-EXP(-BO13*BI13/BN13)),0)</f>
        <v>0</v>
      </c>
      <c r="BR13" s="529">
        <f>PI()*(0.5*BQ13)^2</f>
        <v>0</v>
      </c>
      <c r="BS13" s="529">
        <f t="shared" ref="BS13" si="14">IF(BR13*Q13*($D13/1000)&lt;$U13, BR13*Q13*($D13/1000), $U13)</f>
        <v>0</v>
      </c>
      <c r="BT13" s="529">
        <f>+IF(BK13&gt;4.6,BS13,0)</f>
        <v>0</v>
      </c>
      <c r="BU13" s="529">
        <f>IF(AND(BK13&lt;4.6,BK13&gt;0.9),BS13,IF(BK13&gt;4.6,(0.5*BS13),0))</f>
        <v>0</v>
      </c>
      <c r="BV13" s="529">
        <f>IF(AND(BK13&gt;0,BK13&lt;0.9),BS13,IF(AND(BK13&gt;0.9,BK13&lt;4.6),BS13*0.5,IF(BK13&gt;4.6,(BS13*0.25),0)))</f>
        <v>0</v>
      </c>
      <c r="BW13" s="532" t="str">
        <f t="shared" ref="BW13" si="15">IF(AP13&gt;4.57,I13,"")</f>
        <v/>
      </c>
      <c r="BX13" s="532" t="str">
        <f t="shared" ref="BX13" si="16">IF(BK13&gt;4.57,N13,"")</f>
        <v/>
      </c>
      <c r="BY13" s="532" t="str">
        <f t="shared" ref="BY13" si="17">IF((AND(AP13&gt;0.76,AP13&lt;4.6)),I13,"")</f>
        <v/>
      </c>
      <c r="BZ13" s="532" t="str">
        <f t="shared" ref="BZ13" si="18">IF((AND(BK13&gt;0.76,BK13&lt;4.6)),N13,"")</f>
        <v/>
      </c>
      <c r="CA13" s="532">
        <f t="shared" ref="CA13" si="19">IF(ISBLANK(N13),0,(BS13*BP13))</f>
        <v>0</v>
      </c>
      <c r="CB13" s="533"/>
      <c r="CC13" s="624">
        <f t="shared" ref="CC13" si="20">IF(ISERROR(IF((AY13+BS13)&lt;$U13,(AY13*AQ13+BS13*BL13),(((AQ13*AY13+BL13*BS13)/(AY13+BS13))*$U13))),0,IF((AY13+BS13)&lt;$U13,(AY13*AQ13+BS13*BL13),(((AQ13*AY13+BL13*BS13)/(AY13+BS13))*$U13)))</f>
        <v>0</v>
      </c>
      <c r="CD13" s="534">
        <f t="shared" ref="CD13" si="21">IF(ISERROR(IF((AZ13+BT13)&lt;$U13,(AQ13*AZ13+BT13*BL13),(((AQ13*AZ13+BL13*BT13)/(AZ13+BT13))*$U13))),0,IF((AZ13+BT13)&lt;$U13,(AQ13*AZ13+BT13*BL13),(((AQ13*AZ13+BL13*BT13)/(AZ13+BT13))*$U13)))</f>
        <v>0</v>
      </c>
      <c r="CE13" s="534">
        <f t="shared" ref="CE13" si="22">IF(ISERROR(IF((BA13+BU13)&lt;$U13,(AQ13*BA13+BL13*BU13),(((AQ13*BA13+BL13*BU13)/(BA13+BU13))*$U13))),0,IF((BA13+BU13)&lt;$U13,(AQ13*BA13+BL13*BU13),(((AQ13*BA13+BL13*BU13)/(BA13+BU13))*$U13)))</f>
        <v>0</v>
      </c>
      <c r="CF13" s="534">
        <f t="shared" ref="CF13" si="23">+IF(ISBLANK(A13),0,IF((BB13+BV13+(G13/100)*U13)&gt;U13,U13,(BB13+BV13+(G13/100)*U13)))</f>
        <v>0</v>
      </c>
      <c r="CG13" s="534"/>
      <c r="CH13" s="534"/>
      <c r="CI13" s="534">
        <f>BC13+CA13</f>
        <v>0</v>
      </c>
      <c r="CL13" s="534">
        <f>IF(ISNA(VLOOKUP(I13,Veg_Parameters!$A$3:$N$65,13,FALSE)),0,(VLOOKUP(I13,Veg_Parameters!$A$3:$N$65,13,FALSE)))</f>
        <v>0</v>
      </c>
      <c r="CM13" s="534">
        <f>+IF(ISBLANK(A13),0,IF(CL13="H",BB13,0))</f>
        <v>0</v>
      </c>
      <c r="CN13" s="534">
        <f>IF(ISNA(VLOOKUP(N13,Veg_Parameters!$A$3:$N$65,13,FALSE)),0,(VLOOKUP(N13,Veg_Parameters!$A$3:$N$65,13,FALSE)))</f>
        <v>0</v>
      </c>
      <c r="CO13" s="523">
        <f>+IF(ISBLANK(A13),0, IF(CN13="H", BV13, 0))</f>
        <v>0</v>
      </c>
    </row>
    <row r="14" spans="1:93" x14ac:dyDescent="0.2">
      <c r="A14" s="230"/>
      <c r="B14" s="171" t="str">
        <f>IF(ISBLANK(A14),"",$B$13)</f>
        <v/>
      </c>
      <c r="C14" s="230"/>
      <c r="D14" s="169"/>
      <c r="E14" s="165"/>
      <c r="F14" s="165"/>
      <c r="G14" s="165"/>
      <c r="H14" s="165"/>
      <c r="I14" s="166"/>
      <c r="J14" s="167"/>
      <c r="K14" s="166"/>
      <c r="L14" s="166"/>
      <c r="M14" s="167"/>
      <c r="N14" s="166"/>
      <c r="O14" s="166"/>
      <c r="P14" s="167"/>
      <c r="Q14" s="167"/>
      <c r="R14" s="167"/>
      <c r="S14" s="222" t="str">
        <f>IF(ISBLANK(A14),"",IF(ISNA(VLOOKUP(I14,Veg_Parameters!$A$3:$N$65,3,FALSE)),0,(VLOOKUP(I14,Veg_Parameters!$A$3:$N$65,3,FALSE))))</f>
        <v/>
      </c>
      <c r="T14" s="222" t="str">
        <f>IF(ISBLANK(N14),"",IF(ISNA(VLOOKUP(N14,Veg_Parameters!$A$3:$N$65,3,FALSE)),0,(VLOOKUP(N14,Veg_Parameters!$A$3:$N$65,3,FALSE))))</f>
        <v/>
      </c>
      <c r="U14" s="523">
        <f t="shared" ref="U14:U37" si="24">IF(ISBLANK(A14),0,0.092903*D14)</f>
        <v>0</v>
      </c>
      <c r="V14" s="523">
        <f t="shared" ref="V14:V37" si="25">IF(ISBLANK(A14),0, IF(F14="H", 5, IF(F14="M", 3, IF(F14="L", 1.5, 0))))</f>
        <v>0</v>
      </c>
      <c r="W14" s="524">
        <f>IF(ISBLANK(A14),0,IF(ISNA(VLOOKUP($I14,Veg_Parameters!$A$3:$N$65,10,FALSE)),0,(VLOOKUP($I14,Veg_Parameters!$A$3:$N$65,10,FALSE))))</f>
        <v>0</v>
      </c>
      <c r="X14" s="524">
        <f>IF(ISBLANK(A14),0,IF(ISNA(VLOOKUP($I14,Veg_Parameters!$A$3:$N$65,11,FALSE)),0,(VLOOKUP($I14,Veg_Parameters!$A$3:$N$65,11,FALSE))))</f>
        <v>0</v>
      </c>
      <c r="Y14" s="524">
        <f>IF(ISBLANK(A14),0,IF(ISNA(VLOOKUP($I14,Veg_Parameters!$A$3:$N$65,12,FALSE)),0,(VLOOKUP($I14,Veg_Parameters!$A$3:$N$65,12,FALSE))))</f>
        <v>0</v>
      </c>
      <c r="Z14" s="525">
        <f t="shared" si="1"/>
        <v>0</v>
      </c>
      <c r="AA14" s="525">
        <f t="shared" ref="AA14:AA37" si="26">IF(ISBLANK(E14), 0, IF($O$9="L", $Y14, IF($O$9 = "H", 1, IF($O$9="M", 0.8, " "))))</f>
        <v>0</v>
      </c>
      <c r="AB14" s="525">
        <f t="shared" ref="AB14:AB37" si="27">IF(I14&gt;0, Z14*AA14, 0)</f>
        <v>0</v>
      </c>
      <c r="AC14" s="524">
        <f>IF(ISBLANK(N14),0,IF(ISNA(VLOOKUP($N14,Veg_Parameters!$A$3:$N$65,10,FALSE)),0,(VLOOKUP($N14,Veg_Parameters!$A$3:$N$65,10,FALSE))))</f>
        <v>0</v>
      </c>
      <c r="AD14" s="524">
        <f>IF(ISBLANK(N14),0,IF(ISNA(VLOOKUP($N14,Veg_Parameters!$A$3:$N$65,11,FALSE)),0,(VLOOKUP($N14,Veg_Parameters!$A$3:$N$65,11,FALSE))))</f>
        <v>0</v>
      </c>
      <c r="AE14" s="524">
        <f>IF(ISBLANK(N14), 0, IF(ISNA(VLOOKUP($N14,Veg_Parameters!$A$3:$N$65,12,FALSE)),0,(VLOOKUP($N14,Veg_Parameters!$A$3:$N$65,12,FALSE))))</f>
        <v>0</v>
      </c>
      <c r="AF14" s="523">
        <f t="shared" ref="AF14:AF37" si="28">IF(N14="", 0,IF($E14="C",W14,IF($E14="F",X14,IF($E14="M",1," "))))</f>
        <v>0</v>
      </c>
      <c r="AG14" s="523">
        <f t="shared" ref="AG14:AG37" si="29">IF(N14="", 0,IF($O$9="L", $AE14, IF($O$9 = "H", 1, IF($O$9="M", 0.8, ""))))</f>
        <v>0</v>
      </c>
      <c r="AH14" s="523">
        <f t="shared" ref="AH14:AH37" si="30">IF(N14&gt;0, AF14*AG14, 0)</f>
        <v>0</v>
      </c>
      <c r="AI14" s="526"/>
      <c r="AJ14" s="527">
        <f>AB14*(IF(ISNA(VLOOKUP($I14,Veg_Parameters!$A$3:$N$65,5,FALSE)),0,(VLOOKUP($I14,Veg_Parameters!$A$3:$N$65,5,FALSE))))</f>
        <v>0</v>
      </c>
      <c r="AK14" s="527">
        <f>IF(ISNA(VLOOKUP($I14,Veg_Parameters!$A$3:$N$65,4,FALSE)),0,(VLOOKUP($I14,Veg_Parameters!$A$3:$N$65,4,FALSE)))</f>
        <v>0</v>
      </c>
      <c r="AL14" s="527">
        <f>AB14*(IF(ISNA(VLOOKUP($I14,Veg_Parameters!$A$3:$N$65,7,FALSE)),0, (VLOOKUP($I14,Veg_Parameters!$A$3:$N$65,7,FALSE))))</f>
        <v>0</v>
      </c>
      <c r="AM14" s="528">
        <f>IF(ISNA(VLOOKUP($I14,Veg_Parameters!$A$3:$N$65,6,FALSE)), 0, (VLOOKUP($I14,Veg_Parameters!$A$3:$N$65,6,FALSE)))</f>
        <v>0</v>
      </c>
      <c r="AN14" s="529">
        <f t="shared" ref="AN14:AN37" si="31">IF($O$7=1,J14+$O$8,J14)</f>
        <v>20</v>
      </c>
      <c r="AO14" s="529">
        <f t="shared" ref="AO14:AO37" si="32">IF(AJ14&gt;0, AK14*(1-EXP(-AJ14*AN14/AK14)), 0)</f>
        <v>0</v>
      </c>
      <c r="AP14" s="529">
        <f t="shared" ref="AP14:AP37" si="33">IF(K14&gt;0, K14*0.3048, AO14)</f>
        <v>0</v>
      </c>
      <c r="AQ14" s="530">
        <f t="shared" ref="AQ14:AQ37" si="34">IF(AL14&gt;0, AM14*(1-EXP(-AL14*AN14/AM14)), 0)</f>
        <v>0</v>
      </c>
      <c r="AR14" s="527" t="s">
        <v>3</v>
      </c>
      <c r="AS14" s="527">
        <f>IF(ISNA(VLOOKUP($I14,Veg_Parameters!$A$3:$N$65,8,FALSE)), 0, (VLOOKUP($I14,Veg_Parameters!$A$3:$N$65,8,FALSE)))</f>
        <v>0</v>
      </c>
      <c r="AT14" s="527">
        <f>AB14*(IF(ISNA(VLOOKUP($I14,Veg_Parameters!$A$3:$N$65,9,FALSE)), 0, (VLOOKUP($I14,Veg_Parameters!$A$3:$N$65,9,FALSE))))</f>
        <v>0</v>
      </c>
      <c r="AU14" s="527">
        <f>IF(ISBLANK(A14),0,VLOOKUP($I14,Veg_Parameters!$A$4:$U$65,21,))</f>
        <v>0</v>
      </c>
      <c r="AV14" s="527">
        <f t="shared" ref="AV14:AV37" si="35">IF(OR(I14=3500,I14=3600),U14,0)</f>
        <v>0</v>
      </c>
      <c r="AW14" s="529">
        <f t="shared" ref="AW14:AW37" si="36">IF(AT14&gt;0, AS14*(1-EXP(-AT14*AN14/AS14)),0)</f>
        <v>0</v>
      </c>
      <c r="AX14" s="529">
        <f t="shared" ref="AX14:AX37" si="37">PI()*(0.5*AW14)^2</f>
        <v>0</v>
      </c>
      <c r="AY14" s="529">
        <f t="shared" ref="AY14:AY37" si="38">IF(AX14*L14*($D14/1000)&lt;$U14, AX14*L14*($D14/1000), $U14)</f>
        <v>0</v>
      </c>
      <c r="AZ14" s="529">
        <f t="shared" ref="AZ14:AZ37" si="39">+IF(AP14&gt;4.6,AY14,0)</f>
        <v>0</v>
      </c>
      <c r="BA14" s="529">
        <f t="shared" ref="BA14:BA37" si="40">IF(AND(AP14&gt;0.9,AP14&lt;4.6),AY14,IF(AP14&gt;4.6,0.5*AY14,0))</f>
        <v>0</v>
      </c>
      <c r="BB14" s="529">
        <f t="shared" ref="BB14:BB37" si="41">IF(AND(AP14&gt;0,AP14&lt;0.9),AY14,IF(AND(AP14&gt;0.9,AP14&lt;4.6),AY14*0.5,IF(AP14&gt;4.6,AY14*0.25,0)))</f>
        <v>0</v>
      </c>
      <c r="BC14" s="529">
        <f t="shared" ref="BC14:BC37" si="42">IF(ISBLANK(A14),0,(AY14*AU14))</f>
        <v>0</v>
      </c>
      <c r="BD14" s="531"/>
      <c r="BE14" s="527">
        <f>AH14*(IF(ISNA(VLOOKUP($N14,Veg_Parameters!$A$3:$N$65,5,FALSE)),0,(VLOOKUP($N14,Veg_Parameters!$A$3:$N$65,5,FALSE))))</f>
        <v>0</v>
      </c>
      <c r="BF14" s="527">
        <f>IF(ISNA(VLOOKUP($N14,Veg_Parameters!$A$3:$N$65,4,FALSE)),0,(VLOOKUP($N14,Veg_Parameters!$A$3:$N$65,4,FALSE)))</f>
        <v>0</v>
      </c>
      <c r="BG14" s="527">
        <f>AH14*(IF(ISNA(VLOOKUP($N14,Veg_Parameters!$A$3:$N$65,7,FALSE)),0, (VLOOKUP($N14,Veg_Parameters!$A$3:$N$65,7,FALSE))))</f>
        <v>0</v>
      </c>
      <c r="BH14" s="527">
        <f>IF(ISNA(VLOOKUP($N14,Veg_Parameters!$A$3:$N$65,6,FALSE)), 0, (VLOOKUP($N14,Veg_Parameters!$A$3:$N$65,6,FALSE)))</f>
        <v>0</v>
      </c>
      <c r="BI14" s="529">
        <f t="shared" ref="BI14:BI37" si="43">IF($O$7=1,O14+$O$8,O14)</f>
        <v>20</v>
      </c>
      <c r="BJ14" s="529">
        <f t="shared" ref="BJ14:BJ37" si="44">IF(BE14&gt;0, BF14*(1-EXP(-BE14*BI14/BF14)), 0)</f>
        <v>0</v>
      </c>
      <c r="BK14" s="529">
        <f t="shared" ref="BK14:BK37" si="45">IF(P14&gt;0, P14*0.3048, BJ14)</f>
        <v>0</v>
      </c>
      <c r="BL14" s="530">
        <f t="shared" ref="BL14:BL37" si="46">IF(BG14&gt;0, BH14*(1-EXP(-BG14*BI14/BH14)), 0)</f>
        <v>0</v>
      </c>
      <c r="BM14" s="527" t="s">
        <v>3</v>
      </c>
      <c r="BN14" s="527">
        <f>IF(ISNA(VLOOKUP(N14,Veg_Parameters!$A$3:$N$65,8,FALSE)), 0, (VLOOKUP($N14,Veg_Parameters!$A$3:$N$65,8,FALSE)))</f>
        <v>0</v>
      </c>
      <c r="BO14" s="527">
        <f>AH14*(IF(ISNA(VLOOKUP($N14,Veg_Parameters!$A$3:$N$65,9,FALSE)), 0, (VLOOKUP($N14,Veg_Parameters!$A$3:$N$65,9,FALSE))))</f>
        <v>0</v>
      </c>
      <c r="BP14" s="527" t="str">
        <f>IF(ISBLANK(N14),"0",VLOOKUP($N14,Veg_Parameters!$A$4:$U$65,21,))</f>
        <v>0</v>
      </c>
      <c r="BQ14" s="529">
        <f t="shared" ref="BQ14:BQ37" si="47">IF(BO14&gt;0, BN14*(1-EXP(-BO14*BI14/BN14)),0)</f>
        <v>0</v>
      </c>
      <c r="BR14" s="529">
        <f t="shared" ref="BR14:BR37" si="48">PI()*(0.5*BQ14)^2</f>
        <v>0</v>
      </c>
      <c r="BS14" s="529">
        <f t="shared" ref="BS14:BS37" si="49">IF(BR14*Q14*($D14/1000)&lt;$U14, BR14*Q14*($D14/1000), $U14)</f>
        <v>0</v>
      </c>
      <c r="BT14" s="529">
        <f t="shared" ref="BT14:BT37" si="50">+IF(BK14&gt;4.6,BS14,0)</f>
        <v>0</v>
      </c>
      <c r="BU14" s="529">
        <f t="shared" ref="BU14:BU37" si="51">IF(AND(BK14&lt;4.6,BK14&gt;0.9),BS14,IF(BK14&gt;4.6,(0.5*BS14),0))</f>
        <v>0</v>
      </c>
      <c r="BV14" s="529">
        <f t="shared" ref="BV14:BV37" si="52">IF(AND(BK14&gt;0,BK14&lt;0.9),BS14,IF(AND(BK14&gt;0.9,BK14&lt;4.6),BS14*0.5,IF(BK14&gt;4.6,(BS14*0.25),0)))</f>
        <v>0</v>
      </c>
      <c r="BW14" s="532" t="str">
        <f t="shared" ref="BW14:BW37" si="53">IF(AP14&gt;4.57,I14,"")</f>
        <v/>
      </c>
      <c r="BX14" s="532" t="str">
        <f t="shared" ref="BX14:BX37" si="54">IF(BK14&gt;4.57,N14,"")</f>
        <v/>
      </c>
      <c r="BY14" s="532" t="str">
        <f t="shared" ref="BY14:BY37" si="55">IF((AND(AP14&gt;0.76,AP14&lt;4.6)),I14,"")</f>
        <v/>
      </c>
      <c r="BZ14" s="532" t="str">
        <f t="shared" ref="BZ14:BZ37" si="56">IF((AND(BK14&gt;0.76,BK14&lt;4.6)),N14,"")</f>
        <v/>
      </c>
      <c r="CA14" s="532">
        <f t="shared" ref="CA14:CA37" si="57">IF(ISBLANK(N14),0,(BS14*BP14))</f>
        <v>0</v>
      </c>
      <c r="CB14" s="533"/>
      <c r="CC14" s="624">
        <f t="shared" ref="CC14:CC37" si="58">IF(ISERROR(IF((AY14+BS14)&lt;$U14,(AY14*AQ14+BS14*BL14),(((AQ14*AY14+BL14*BS14)/(AY14+BS14))*$U14))),0,IF((AY14+BS14)&lt;$U14,(AY14*AQ14+BS14*BL14),(((AQ14*AY14+BL14*BS14)/(AY14+BS14))*$U14)))</f>
        <v>0</v>
      </c>
      <c r="CD14" s="534">
        <f t="shared" ref="CD14:CD37" si="59">IF(ISERROR(IF((AZ14+BT14)&lt;$U14,(AQ14*AZ14+BT14*BL14),(((AQ14*AZ14+BL14*BT14)/(AZ14+BT14))*$U14))),0,IF((AZ14+BT14)&lt;$U14,(AQ14*AZ14+BT14*BL14),(((AQ14*AZ14+BL14*BT14)/(AZ14+BT14))*$U14)))</f>
        <v>0</v>
      </c>
      <c r="CE14" s="534">
        <f t="shared" ref="CE14:CE37" si="60">IF(ISERROR(IF((BA14+BU14)&lt;$U14,(AQ14*BA14+BL14*BU14),(((AQ14*BA14+BL14*BU14)/(BA14+BU14))*$U14))),0,IF((BA14+BU14)&lt;$U14,(AQ14*BA14+BL14*BU14),(((AQ14*BA14+BL14*BU14)/(BA14+BU14))*$U14)))</f>
        <v>0</v>
      </c>
      <c r="CF14" s="534">
        <f t="shared" ref="CF14:CF37" si="61">+IF(ISBLANK(A14),0,IF((BB14+BV14+(G14/100)*U14)&gt;U14,U14,(BB14+BV14+(G14/100)*U14)))</f>
        <v>0</v>
      </c>
      <c r="CG14" s="534"/>
      <c r="CH14" s="534"/>
      <c r="CI14" s="534">
        <f t="shared" ref="CI14:CI37" si="62">BC14+CA14</f>
        <v>0</v>
      </c>
      <c r="CL14" s="534">
        <f>IF(ISNA(VLOOKUP(I14,Veg_Parameters!$A$3:$N$65,13,FALSE)),0,(VLOOKUP(I14,Veg_Parameters!$A$3:$N$65,13,FALSE)))</f>
        <v>0</v>
      </c>
      <c r="CM14" s="534">
        <f t="shared" ref="CM14:CM37" si="63">+IF(ISBLANK(A14),0,IF(CL14="H",BB14,0))</f>
        <v>0</v>
      </c>
      <c r="CN14" s="534">
        <f>IF(ISNA(VLOOKUP(N14,Veg_Parameters!$A$3:$N$65,13,FALSE)),0,(VLOOKUP(N14,Veg_Parameters!$A$3:$N$65,13,FALSE)))</f>
        <v>0</v>
      </c>
      <c r="CO14" s="523">
        <f t="shared" ref="CO14:CO37" si="64">+IF(ISBLANK(A14),0, IF(CN14="H", BV14, 0))</f>
        <v>0</v>
      </c>
    </row>
    <row r="15" spans="1:93" x14ac:dyDescent="0.2">
      <c r="A15" s="230"/>
      <c r="B15" s="171" t="str">
        <f>IF(ISBLANK(A15),"",$B$13)</f>
        <v/>
      </c>
      <c r="C15" s="230"/>
      <c r="D15" s="169"/>
      <c r="E15" s="165"/>
      <c r="F15" s="165"/>
      <c r="G15" s="165"/>
      <c r="H15" s="165"/>
      <c r="I15" s="168"/>
      <c r="J15" s="167"/>
      <c r="K15" s="166"/>
      <c r="L15" s="166"/>
      <c r="M15" s="167"/>
      <c r="N15" s="168"/>
      <c r="O15" s="168"/>
      <c r="P15" s="167"/>
      <c r="Q15" s="167"/>
      <c r="R15" s="167"/>
      <c r="S15" s="222" t="str">
        <f>IF(ISBLANK(A15),"",IF(ISNA(VLOOKUP(I15,Veg_Parameters!$A$3:$N$65,3,FALSE)),0,(VLOOKUP(I15,Veg_Parameters!$A$3:$N$65,3,FALSE))))</f>
        <v/>
      </c>
      <c r="T15" s="222" t="str">
        <f>IF(ISBLANK(N15),"",IF(ISNA(VLOOKUP(N15,Veg_Parameters!$A$3:$N$65,3,FALSE)),0,(VLOOKUP(N15,Veg_Parameters!$A$3:$N$65,3,FALSE))))</f>
        <v/>
      </c>
      <c r="U15" s="523">
        <f t="shared" si="24"/>
        <v>0</v>
      </c>
      <c r="V15" s="523">
        <f t="shared" si="25"/>
        <v>0</v>
      </c>
      <c r="W15" s="524">
        <f>IF(ISBLANK(A15),0,IF(ISNA(VLOOKUP($I15,Veg_Parameters!$A$3:$N$65,10,FALSE)),0,(VLOOKUP($I15,Veg_Parameters!$A$3:$N$65,10,FALSE))))</f>
        <v>0</v>
      </c>
      <c r="X15" s="524">
        <f>IF(ISBLANK(A15),0,IF(ISNA(VLOOKUP($I15,Veg_Parameters!$A$3:$N$65,11,FALSE)),0,(VLOOKUP($I15,Veg_Parameters!$A$3:$N$65,11,FALSE))))</f>
        <v>0</v>
      </c>
      <c r="Y15" s="524">
        <f>IF(ISBLANK(A15),0,IF(ISNA(VLOOKUP($I15,Veg_Parameters!$A$3:$N$65,12,FALSE)),0,(VLOOKUP($I15,Veg_Parameters!$A$3:$N$65,12,FALSE))))</f>
        <v>0</v>
      </c>
      <c r="Z15" s="525">
        <f t="shared" si="1"/>
        <v>0</v>
      </c>
      <c r="AA15" s="525">
        <f t="shared" si="26"/>
        <v>0</v>
      </c>
      <c r="AB15" s="525">
        <f t="shared" si="27"/>
        <v>0</v>
      </c>
      <c r="AC15" s="524">
        <f>IF(ISBLANK(N15),0,IF(ISNA(VLOOKUP($N15,Veg_Parameters!$A$3:$N$65,10,FALSE)),0,(VLOOKUP($N15,Veg_Parameters!$A$3:$N$65,10,FALSE))))</f>
        <v>0</v>
      </c>
      <c r="AD15" s="524">
        <f>IF(ISBLANK(N15),0,IF(ISNA(VLOOKUP($N15,Veg_Parameters!$A$3:$N$65,11,FALSE)),0,(VLOOKUP($N15,Veg_Parameters!$A$3:$N$65,11,FALSE))))</f>
        <v>0</v>
      </c>
      <c r="AE15" s="524">
        <f>IF(ISBLANK(N15), 0, IF(ISNA(VLOOKUP($N15,Veg_Parameters!$A$3:$N$65,12,FALSE)),0,(VLOOKUP($N15,Veg_Parameters!$A$3:$N$65,12,FALSE))))</f>
        <v>0</v>
      </c>
      <c r="AF15" s="523">
        <f t="shared" si="28"/>
        <v>0</v>
      </c>
      <c r="AG15" s="523">
        <f t="shared" si="29"/>
        <v>0</v>
      </c>
      <c r="AH15" s="523">
        <f t="shared" si="30"/>
        <v>0</v>
      </c>
      <c r="AI15" s="526"/>
      <c r="AJ15" s="527">
        <f>AB15*(IF(ISNA(VLOOKUP($I15,Veg_Parameters!$A$3:$N$65,5,FALSE)),0,(VLOOKUP($I15,Veg_Parameters!$A$3:$N$65,5,FALSE))))</f>
        <v>0</v>
      </c>
      <c r="AK15" s="527">
        <f>IF(ISNA(VLOOKUP($I15,Veg_Parameters!$A$3:$N$65,4,FALSE)),0,(VLOOKUP($I15,Veg_Parameters!$A$3:$N$65,4,FALSE)))</f>
        <v>0</v>
      </c>
      <c r="AL15" s="527">
        <f>AB15*(IF(ISNA(VLOOKUP($I15,Veg_Parameters!$A$3:$N$65,7,FALSE)),0, (VLOOKUP($I15,Veg_Parameters!$A$3:$N$65,7,FALSE))))</f>
        <v>0</v>
      </c>
      <c r="AM15" s="528">
        <f>IF(ISNA(VLOOKUP($I15,Veg_Parameters!$A$3:$N$65,6,FALSE)), 0, (VLOOKUP($I15,Veg_Parameters!$A$3:$N$65,6,FALSE)))</f>
        <v>0</v>
      </c>
      <c r="AN15" s="529">
        <f t="shared" si="31"/>
        <v>20</v>
      </c>
      <c r="AO15" s="529">
        <f t="shared" si="32"/>
        <v>0</v>
      </c>
      <c r="AP15" s="529">
        <f t="shared" si="33"/>
        <v>0</v>
      </c>
      <c r="AQ15" s="530">
        <f t="shared" si="34"/>
        <v>0</v>
      </c>
      <c r="AR15" s="527" t="s">
        <v>3</v>
      </c>
      <c r="AS15" s="527">
        <f>IF(ISNA(VLOOKUP($I15,Veg_Parameters!$A$3:$N$65,8,FALSE)), 0, (VLOOKUP($I15,Veg_Parameters!$A$3:$N$65,8,FALSE)))</f>
        <v>0</v>
      </c>
      <c r="AT15" s="527">
        <f>AB15*(IF(ISNA(VLOOKUP($I15,Veg_Parameters!$A$3:$N$65,9,FALSE)), 0, (VLOOKUP($I15,Veg_Parameters!$A$3:$N$65,9,FALSE))))</f>
        <v>0</v>
      </c>
      <c r="AU15" s="527">
        <f>IF(ISBLANK(A15),0,VLOOKUP($I15,Veg_Parameters!$A$4:$U$65,21,))</f>
        <v>0</v>
      </c>
      <c r="AV15" s="527">
        <f t="shared" si="35"/>
        <v>0</v>
      </c>
      <c r="AW15" s="529">
        <f t="shared" si="36"/>
        <v>0</v>
      </c>
      <c r="AX15" s="529">
        <f t="shared" si="37"/>
        <v>0</v>
      </c>
      <c r="AY15" s="529">
        <f t="shared" si="38"/>
        <v>0</v>
      </c>
      <c r="AZ15" s="529">
        <f t="shared" si="39"/>
        <v>0</v>
      </c>
      <c r="BA15" s="529">
        <f t="shared" si="40"/>
        <v>0</v>
      </c>
      <c r="BB15" s="529">
        <f t="shared" si="41"/>
        <v>0</v>
      </c>
      <c r="BC15" s="529">
        <f t="shared" si="42"/>
        <v>0</v>
      </c>
      <c r="BD15" s="531"/>
      <c r="BE15" s="527">
        <f>AH15*(IF(ISNA(VLOOKUP($N15,Veg_Parameters!$A$3:$N$65,5,FALSE)),0,(VLOOKUP($N15,Veg_Parameters!$A$3:$N$65,5,FALSE))))</f>
        <v>0</v>
      </c>
      <c r="BF15" s="527">
        <f>IF(ISNA(VLOOKUP($N15,Veg_Parameters!$A$3:$N$65,4,FALSE)),0,(VLOOKUP($N15,Veg_Parameters!$A$3:$N$65,4,FALSE)))</f>
        <v>0</v>
      </c>
      <c r="BG15" s="527">
        <f>AH15*(IF(ISNA(VLOOKUP($N15,Veg_Parameters!$A$3:$N$65,7,FALSE)),0, (VLOOKUP($N15,Veg_Parameters!$A$3:$N$65,7,FALSE))))</f>
        <v>0</v>
      </c>
      <c r="BH15" s="527">
        <f>IF(ISNA(VLOOKUP($N15,Veg_Parameters!$A$3:$N$65,6,FALSE)), 0, (VLOOKUP($N15,Veg_Parameters!$A$3:$N$65,6,FALSE)))</f>
        <v>0</v>
      </c>
      <c r="BI15" s="529">
        <f t="shared" si="43"/>
        <v>20</v>
      </c>
      <c r="BJ15" s="529">
        <f t="shared" si="44"/>
        <v>0</v>
      </c>
      <c r="BK15" s="529">
        <f t="shared" si="45"/>
        <v>0</v>
      </c>
      <c r="BL15" s="530">
        <f t="shared" si="46"/>
        <v>0</v>
      </c>
      <c r="BM15" s="527" t="s">
        <v>3</v>
      </c>
      <c r="BN15" s="527">
        <f>IF(ISNA(VLOOKUP(N15,Veg_Parameters!$A$3:$N$65,8,FALSE)), 0, (VLOOKUP($N15,Veg_Parameters!$A$3:$N$65,8,FALSE)))</f>
        <v>0</v>
      </c>
      <c r="BO15" s="527">
        <f>AH15*(IF(ISNA(VLOOKUP($N15,Veg_Parameters!$A$3:$N$65,9,FALSE)), 0, (VLOOKUP($N15,Veg_Parameters!$A$3:$N$65,9,FALSE))))</f>
        <v>0</v>
      </c>
      <c r="BP15" s="527" t="str">
        <f>IF(ISBLANK(N15),"0",VLOOKUP($N15,Veg_Parameters!$A$4:$U$65,21,))</f>
        <v>0</v>
      </c>
      <c r="BQ15" s="529">
        <f t="shared" si="47"/>
        <v>0</v>
      </c>
      <c r="BR15" s="529">
        <f t="shared" si="48"/>
        <v>0</v>
      </c>
      <c r="BS15" s="529">
        <f t="shared" si="49"/>
        <v>0</v>
      </c>
      <c r="BT15" s="529">
        <f t="shared" si="50"/>
        <v>0</v>
      </c>
      <c r="BU15" s="529">
        <f t="shared" si="51"/>
        <v>0</v>
      </c>
      <c r="BV15" s="529">
        <f t="shared" si="52"/>
        <v>0</v>
      </c>
      <c r="BW15" s="532" t="str">
        <f t="shared" si="53"/>
        <v/>
      </c>
      <c r="BX15" s="532" t="str">
        <f t="shared" si="54"/>
        <v/>
      </c>
      <c r="BY15" s="532" t="str">
        <f t="shared" si="55"/>
        <v/>
      </c>
      <c r="BZ15" s="532" t="str">
        <f t="shared" si="56"/>
        <v/>
      </c>
      <c r="CA15" s="532">
        <f t="shared" si="57"/>
        <v>0</v>
      </c>
      <c r="CB15" s="533"/>
      <c r="CC15" s="624">
        <f t="shared" si="58"/>
        <v>0</v>
      </c>
      <c r="CD15" s="534">
        <f t="shared" si="59"/>
        <v>0</v>
      </c>
      <c r="CE15" s="534">
        <f t="shared" si="60"/>
        <v>0</v>
      </c>
      <c r="CF15" s="534">
        <f t="shared" si="61"/>
        <v>0</v>
      </c>
      <c r="CG15" s="534"/>
      <c r="CH15" s="534"/>
      <c r="CI15" s="534">
        <f t="shared" si="62"/>
        <v>0</v>
      </c>
      <c r="CL15" s="534">
        <f>IF(ISNA(VLOOKUP(I15,Veg_Parameters!$A$3:$N$65,13,FALSE)),0,(VLOOKUP(I15,Veg_Parameters!$A$3:$N$65,13,FALSE)))</f>
        <v>0</v>
      </c>
      <c r="CM15" s="534">
        <f t="shared" si="63"/>
        <v>0</v>
      </c>
      <c r="CN15" s="534">
        <f>IF(ISNA(VLOOKUP(N15,Veg_Parameters!$A$3:$N$65,13,FALSE)),0,(VLOOKUP(N15,Veg_Parameters!$A$3:$N$65,13,FALSE)))</f>
        <v>0</v>
      </c>
      <c r="CO15" s="523">
        <f t="shared" si="64"/>
        <v>0</v>
      </c>
    </row>
    <row r="16" spans="1:93" x14ac:dyDescent="0.2">
      <c r="A16" s="230"/>
      <c r="B16" s="171" t="str">
        <f>IF(ISBLANK(A16),"",$B$13)</f>
        <v/>
      </c>
      <c r="C16" s="230"/>
      <c r="D16" s="169"/>
      <c r="E16" s="165"/>
      <c r="F16" s="165"/>
      <c r="G16" s="165"/>
      <c r="H16" s="165"/>
      <c r="I16" s="168"/>
      <c r="J16" s="167"/>
      <c r="K16" s="168"/>
      <c r="L16" s="167"/>
      <c r="M16" s="167"/>
      <c r="N16" s="168"/>
      <c r="O16" s="168"/>
      <c r="P16" s="167"/>
      <c r="Q16" s="167"/>
      <c r="R16" s="167"/>
      <c r="S16" s="222" t="str">
        <f>IF(ISBLANK(A16),"",IF(ISNA(VLOOKUP(I16,Veg_Parameters!$A$3:$N$65,3,FALSE)),0,(VLOOKUP(I16,Veg_Parameters!$A$3:$N$65,3,FALSE))))</f>
        <v/>
      </c>
      <c r="T16" s="222" t="str">
        <f>IF(ISBLANK(N16),"",IF(ISNA(VLOOKUP(N16,Veg_Parameters!$A$3:$N$65,3,FALSE)),0,(VLOOKUP(N16,Veg_Parameters!$A$3:$N$65,3,FALSE))))</f>
        <v/>
      </c>
      <c r="U16" s="523">
        <f t="shared" si="24"/>
        <v>0</v>
      </c>
      <c r="V16" s="523">
        <f t="shared" si="25"/>
        <v>0</v>
      </c>
      <c r="W16" s="524">
        <f>IF(ISBLANK(A16),0,IF(ISNA(VLOOKUP($I16,Veg_Parameters!$A$3:$N$65,10,FALSE)),0,(VLOOKUP($I16,Veg_Parameters!$A$3:$N$65,10,FALSE))))</f>
        <v>0</v>
      </c>
      <c r="X16" s="524">
        <f>IF(ISBLANK(A16),0,IF(ISNA(VLOOKUP($I16,Veg_Parameters!$A$3:$N$65,11,FALSE)),0,(VLOOKUP($I16,Veg_Parameters!$A$3:$N$65,11,FALSE))))</f>
        <v>0</v>
      </c>
      <c r="Y16" s="524">
        <f>IF(ISBLANK(A16),0,IF(ISNA(VLOOKUP($I16,Veg_Parameters!$A$3:$N$65,12,FALSE)),0,(VLOOKUP($I16,Veg_Parameters!$A$3:$N$65,12,FALSE))))</f>
        <v>0</v>
      </c>
      <c r="Z16" s="525">
        <f t="shared" si="1"/>
        <v>0</v>
      </c>
      <c r="AA16" s="525">
        <f t="shared" si="26"/>
        <v>0</v>
      </c>
      <c r="AB16" s="525">
        <f t="shared" si="27"/>
        <v>0</v>
      </c>
      <c r="AC16" s="524">
        <f>IF(ISBLANK(N16),0,IF(ISNA(VLOOKUP($N16,Veg_Parameters!$A$3:$N$65,10,FALSE)),0,(VLOOKUP($N16,Veg_Parameters!$A$3:$N$65,10,FALSE))))</f>
        <v>0</v>
      </c>
      <c r="AD16" s="524">
        <f>IF(ISBLANK(N16),0,IF(ISNA(VLOOKUP($N16,Veg_Parameters!$A$3:$N$65,11,FALSE)),0,(VLOOKUP($N16,Veg_Parameters!$A$3:$N$65,11,FALSE))))</f>
        <v>0</v>
      </c>
      <c r="AE16" s="524">
        <f>IF(ISBLANK(N16), 0, IF(ISNA(VLOOKUP($N16,Veg_Parameters!$A$3:$N$65,12,FALSE)),0,(VLOOKUP($N16,Veg_Parameters!$A$3:$N$65,12,FALSE))))</f>
        <v>0</v>
      </c>
      <c r="AF16" s="523">
        <f t="shared" si="28"/>
        <v>0</v>
      </c>
      <c r="AG16" s="523">
        <f t="shared" si="29"/>
        <v>0</v>
      </c>
      <c r="AH16" s="523">
        <f t="shared" si="30"/>
        <v>0</v>
      </c>
      <c r="AI16" s="526"/>
      <c r="AJ16" s="527">
        <f>AB16*(IF(ISNA(VLOOKUP($I16,Veg_Parameters!$A$3:$N$65,5,FALSE)),0,(VLOOKUP($I16,Veg_Parameters!$A$3:$N$65,5,FALSE))))</f>
        <v>0</v>
      </c>
      <c r="AK16" s="527">
        <f>IF(ISNA(VLOOKUP($I16,Veg_Parameters!$A$3:$N$65,4,FALSE)),0,(VLOOKUP($I16,Veg_Parameters!$A$3:$N$65,4,FALSE)))</f>
        <v>0</v>
      </c>
      <c r="AL16" s="527">
        <f>AB16*(IF(ISNA(VLOOKUP($I16,Veg_Parameters!$A$3:$N$65,7,FALSE)),0, (VLOOKUP($I16,Veg_Parameters!$A$3:$N$65,7,FALSE))))</f>
        <v>0</v>
      </c>
      <c r="AM16" s="528">
        <f>IF(ISNA(VLOOKUP($I16,Veg_Parameters!$A$3:$N$65,6,FALSE)), 0, (VLOOKUP($I16,Veg_Parameters!$A$3:$N$65,6,FALSE)))</f>
        <v>0</v>
      </c>
      <c r="AN16" s="529">
        <f t="shared" si="31"/>
        <v>20</v>
      </c>
      <c r="AO16" s="529">
        <f t="shared" si="32"/>
        <v>0</v>
      </c>
      <c r="AP16" s="529">
        <f t="shared" si="33"/>
        <v>0</v>
      </c>
      <c r="AQ16" s="530">
        <f t="shared" si="34"/>
        <v>0</v>
      </c>
      <c r="AR16" s="527" t="s">
        <v>3</v>
      </c>
      <c r="AS16" s="527">
        <f>IF(ISNA(VLOOKUP($I16,Veg_Parameters!$A$3:$N$65,8,FALSE)), 0, (VLOOKUP($I16,Veg_Parameters!$A$3:$N$65,8,FALSE)))</f>
        <v>0</v>
      </c>
      <c r="AT16" s="527">
        <f>AB16*(IF(ISNA(VLOOKUP($I16,Veg_Parameters!$A$3:$N$65,9,FALSE)), 0, (VLOOKUP($I16,Veg_Parameters!$A$3:$N$65,9,FALSE))))</f>
        <v>0</v>
      </c>
      <c r="AU16" s="527">
        <f>IF(ISBLANK(A16),0,VLOOKUP($I16,Veg_Parameters!$A$4:$U$65,21,))</f>
        <v>0</v>
      </c>
      <c r="AV16" s="527">
        <f t="shared" si="35"/>
        <v>0</v>
      </c>
      <c r="AW16" s="529">
        <f t="shared" si="36"/>
        <v>0</v>
      </c>
      <c r="AX16" s="529">
        <f t="shared" si="37"/>
        <v>0</v>
      </c>
      <c r="AY16" s="529">
        <f t="shared" si="38"/>
        <v>0</v>
      </c>
      <c r="AZ16" s="529">
        <f t="shared" si="39"/>
        <v>0</v>
      </c>
      <c r="BA16" s="529">
        <f t="shared" si="40"/>
        <v>0</v>
      </c>
      <c r="BB16" s="529">
        <f t="shared" si="41"/>
        <v>0</v>
      </c>
      <c r="BC16" s="529">
        <f t="shared" si="42"/>
        <v>0</v>
      </c>
      <c r="BD16" s="531"/>
      <c r="BE16" s="527">
        <f>AH16*(IF(ISNA(VLOOKUP($N16,Veg_Parameters!$A$3:$N$65,5,FALSE)),0,(VLOOKUP($N16,Veg_Parameters!$A$3:$N$65,5,FALSE))))</f>
        <v>0</v>
      </c>
      <c r="BF16" s="527">
        <f>IF(ISNA(VLOOKUP($N16,Veg_Parameters!$A$3:$N$65,4,FALSE)),0,(VLOOKUP($N16,Veg_Parameters!$A$3:$N$65,4,FALSE)))</f>
        <v>0</v>
      </c>
      <c r="BG16" s="527">
        <f>AH16*(IF(ISNA(VLOOKUP($N16,Veg_Parameters!$A$3:$N$65,7,FALSE)),0, (VLOOKUP($N16,Veg_Parameters!$A$3:$N$65,7,FALSE))))</f>
        <v>0</v>
      </c>
      <c r="BH16" s="527">
        <f>IF(ISNA(VLOOKUP($N16,Veg_Parameters!$A$3:$N$65,6,FALSE)), 0, (VLOOKUP($N16,Veg_Parameters!$A$3:$N$65,6,FALSE)))</f>
        <v>0</v>
      </c>
      <c r="BI16" s="529">
        <f t="shared" si="43"/>
        <v>20</v>
      </c>
      <c r="BJ16" s="529">
        <f t="shared" si="44"/>
        <v>0</v>
      </c>
      <c r="BK16" s="529">
        <f t="shared" si="45"/>
        <v>0</v>
      </c>
      <c r="BL16" s="530">
        <f t="shared" si="46"/>
        <v>0</v>
      </c>
      <c r="BM16" s="527" t="s">
        <v>3</v>
      </c>
      <c r="BN16" s="527">
        <f>IF(ISNA(VLOOKUP(N16,Veg_Parameters!$A$3:$N$65,8,FALSE)), 0, (VLOOKUP($N16,Veg_Parameters!$A$3:$N$65,8,FALSE)))</f>
        <v>0</v>
      </c>
      <c r="BO16" s="527">
        <f>AH16*(IF(ISNA(VLOOKUP($N16,Veg_Parameters!$A$3:$N$65,9,FALSE)), 0, (VLOOKUP($N16,Veg_Parameters!$A$3:$N$65,9,FALSE))))</f>
        <v>0</v>
      </c>
      <c r="BP16" s="527" t="str">
        <f>IF(ISBLANK(N16),"0",VLOOKUP($N16,Veg_Parameters!$A$4:$U$65,21,))</f>
        <v>0</v>
      </c>
      <c r="BQ16" s="529">
        <f t="shared" si="47"/>
        <v>0</v>
      </c>
      <c r="BR16" s="529">
        <f t="shared" si="48"/>
        <v>0</v>
      </c>
      <c r="BS16" s="529">
        <f t="shared" si="49"/>
        <v>0</v>
      </c>
      <c r="BT16" s="529">
        <f t="shared" si="50"/>
        <v>0</v>
      </c>
      <c r="BU16" s="529">
        <f t="shared" si="51"/>
        <v>0</v>
      </c>
      <c r="BV16" s="529">
        <f t="shared" si="52"/>
        <v>0</v>
      </c>
      <c r="BW16" s="532" t="str">
        <f t="shared" si="53"/>
        <v/>
      </c>
      <c r="BX16" s="532" t="str">
        <f t="shared" si="54"/>
        <v/>
      </c>
      <c r="BY16" s="532" t="str">
        <f t="shared" si="55"/>
        <v/>
      </c>
      <c r="BZ16" s="532" t="str">
        <f t="shared" si="56"/>
        <v/>
      </c>
      <c r="CA16" s="532">
        <f t="shared" si="57"/>
        <v>0</v>
      </c>
      <c r="CB16" s="533"/>
      <c r="CC16" s="624">
        <f t="shared" si="58"/>
        <v>0</v>
      </c>
      <c r="CD16" s="534">
        <f t="shared" si="59"/>
        <v>0</v>
      </c>
      <c r="CE16" s="534">
        <f t="shared" si="60"/>
        <v>0</v>
      </c>
      <c r="CF16" s="534">
        <f t="shared" si="61"/>
        <v>0</v>
      </c>
      <c r="CG16" s="534"/>
      <c r="CH16" s="534"/>
      <c r="CI16" s="534">
        <f t="shared" si="62"/>
        <v>0</v>
      </c>
      <c r="CL16" s="534">
        <f>IF(ISNA(VLOOKUP(I16,Veg_Parameters!$A$3:$N$65,13,FALSE)),0,(VLOOKUP(I16,Veg_Parameters!$A$3:$N$65,13,FALSE)))</f>
        <v>0</v>
      </c>
      <c r="CM16" s="534">
        <f t="shared" si="63"/>
        <v>0</v>
      </c>
      <c r="CN16" s="534">
        <f>IF(ISNA(VLOOKUP(N16,Veg_Parameters!$A$3:$N$65,13,FALSE)),0,(VLOOKUP(N16,Veg_Parameters!$A$3:$N$65,13,FALSE)))</f>
        <v>0</v>
      </c>
      <c r="CO16" s="523">
        <f t="shared" si="64"/>
        <v>0</v>
      </c>
    </row>
    <row r="17" spans="1:93" x14ac:dyDescent="0.2">
      <c r="A17" s="230"/>
      <c r="B17" s="171" t="str">
        <f t="shared" ref="B17:B37" si="65">IF(ISBLANK(A17),"",$B$13)</f>
        <v/>
      </c>
      <c r="C17" s="230"/>
      <c r="D17" s="169"/>
      <c r="E17" s="165"/>
      <c r="F17" s="165"/>
      <c r="G17" s="165"/>
      <c r="H17" s="165"/>
      <c r="I17" s="168"/>
      <c r="J17" s="167"/>
      <c r="K17" s="168"/>
      <c r="L17" s="167"/>
      <c r="M17" s="167"/>
      <c r="N17" s="168"/>
      <c r="O17" s="168"/>
      <c r="P17" s="167"/>
      <c r="Q17" s="167"/>
      <c r="R17" s="167"/>
      <c r="S17" s="222" t="str">
        <f>IF(ISBLANK(A17),"",IF(ISNA(VLOOKUP(I17,Veg_Parameters!$A$3:$N$65,3,FALSE)),0,(VLOOKUP(I17,Veg_Parameters!$A$3:$N$65,3,FALSE))))</f>
        <v/>
      </c>
      <c r="T17" s="222" t="str">
        <f>IF(ISBLANK(N17),"",IF(ISNA(VLOOKUP(N17,Veg_Parameters!$A$3:$N$65,3,FALSE)),0,(VLOOKUP(N17,Veg_Parameters!$A$3:$N$65,3,FALSE))))</f>
        <v/>
      </c>
      <c r="U17" s="523">
        <f t="shared" si="24"/>
        <v>0</v>
      </c>
      <c r="V17" s="523">
        <f t="shared" si="25"/>
        <v>0</v>
      </c>
      <c r="W17" s="524">
        <f>IF(ISBLANK(A17),0,IF(ISNA(VLOOKUP($I17,Veg_Parameters!$A$3:$N$65,10,FALSE)),0,(VLOOKUP($I17,Veg_Parameters!$A$3:$N$65,10,FALSE))))</f>
        <v>0</v>
      </c>
      <c r="X17" s="524">
        <f>IF(ISBLANK(A17),0,IF(ISNA(VLOOKUP($I17,Veg_Parameters!$A$3:$N$65,11,FALSE)),0,(VLOOKUP($I17,Veg_Parameters!$A$3:$N$65,11,FALSE))))</f>
        <v>0</v>
      </c>
      <c r="Y17" s="524">
        <f>IF(ISBLANK(A17),0,IF(ISNA(VLOOKUP($I17,Veg_Parameters!$A$3:$N$65,12,FALSE)),0,(VLOOKUP($I17,Veg_Parameters!$A$3:$N$65,12,FALSE))))</f>
        <v>0</v>
      </c>
      <c r="Z17" s="525">
        <f t="shared" si="1"/>
        <v>0</v>
      </c>
      <c r="AA17" s="525">
        <f t="shared" si="26"/>
        <v>0</v>
      </c>
      <c r="AB17" s="525">
        <f t="shared" si="27"/>
        <v>0</v>
      </c>
      <c r="AC17" s="524">
        <f>IF(ISBLANK(N17),0,IF(ISNA(VLOOKUP($N17,Veg_Parameters!$A$3:$N$65,10,FALSE)),0,(VLOOKUP($N17,Veg_Parameters!$A$3:$N$65,10,FALSE))))</f>
        <v>0</v>
      </c>
      <c r="AD17" s="524">
        <f>IF(ISBLANK(N17),0,IF(ISNA(VLOOKUP($N17,Veg_Parameters!$A$3:$N$65,11,FALSE)),0,(VLOOKUP($N17,Veg_Parameters!$A$3:$N$65,11,FALSE))))</f>
        <v>0</v>
      </c>
      <c r="AE17" s="524">
        <f>IF(ISBLANK(N17), 0, IF(ISNA(VLOOKUP($N17,Veg_Parameters!$A$3:$N$65,12,FALSE)),0,(VLOOKUP($N17,Veg_Parameters!$A$3:$N$65,12,FALSE))))</f>
        <v>0</v>
      </c>
      <c r="AF17" s="523">
        <f t="shared" si="28"/>
        <v>0</v>
      </c>
      <c r="AG17" s="523">
        <f t="shared" si="29"/>
        <v>0</v>
      </c>
      <c r="AH17" s="523">
        <f t="shared" si="30"/>
        <v>0</v>
      </c>
      <c r="AI17" s="526"/>
      <c r="AJ17" s="527">
        <f>AB17*(IF(ISNA(VLOOKUP($I17,Veg_Parameters!$A$3:$N$65,5,FALSE)),0,(VLOOKUP($I17,Veg_Parameters!$A$3:$N$65,5,FALSE))))</f>
        <v>0</v>
      </c>
      <c r="AK17" s="527">
        <f>IF(ISNA(VLOOKUP($I17,Veg_Parameters!$A$3:$N$65,4,FALSE)),0,(VLOOKUP($I17,Veg_Parameters!$A$3:$N$65,4,FALSE)))</f>
        <v>0</v>
      </c>
      <c r="AL17" s="527">
        <f>AB17*(IF(ISNA(VLOOKUP($I17,Veg_Parameters!$A$3:$N$65,7,FALSE)),0, (VLOOKUP($I17,Veg_Parameters!$A$3:$N$65,7,FALSE))))</f>
        <v>0</v>
      </c>
      <c r="AM17" s="528">
        <f>IF(ISNA(VLOOKUP($I17,Veg_Parameters!$A$3:$N$65,6,FALSE)), 0, (VLOOKUP($I17,Veg_Parameters!$A$3:$N$65,6,FALSE)))</f>
        <v>0</v>
      </c>
      <c r="AN17" s="529">
        <f t="shared" si="31"/>
        <v>20</v>
      </c>
      <c r="AO17" s="529">
        <f t="shared" si="32"/>
        <v>0</v>
      </c>
      <c r="AP17" s="529">
        <f t="shared" si="33"/>
        <v>0</v>
      </c>
      <c r="AQ17" s="530">
        <f t="shared" si="34"/>
        <v>0</v>
      </c>
      <c r="AR17" s="527" t="s">
        <v>3</v>
      </c>
      <c r="AS17" s="527">
        <f>IF(ISNA(VLOOKUP($I17,Veg_Parameters!$A$3:$N$65,8,FALSE)), 0, (VLOOKUP($I17,Veg_Parameters!$A$3:$N$65,8,FALSE)))</f>
        <v>0</v>
      </c>
      <c r="AT17" s="527">
        <f>AB17*(IF(ISNA(VLOOKUP($I17,Veg_Parameters!$A$3:$N$65,9,FALSE)), 0, (VLOOKUP($I17,Veg_Parameters!$A$3:$N$65,9,FALSE))))</f>
        <v>0</v>
      </c>
      <c r="AU17" s="527">
        <f>IF(ISBLANK(A17),0,VLOOKUP($I17,Veg_Parameters!$A$4:$U$65,21,))</f>
        <v>0</v>
      </c>
      <c r="AV17" s="527">
        <f t="shared" si="35"/>
        <v>0</v>
      </c>
      <c r="AW17" s="529">
        <f t="shared" si="36"/>
        <v>0</v>
      </c>
      <c r="AX17" s="529">
        <f t="shared" si="37"/>
        <v>0</v>
      </c>
      <c r="AY17" s="529">
        <f t="shared" si="38"/>
        <v>0</v>
      </c>
      <c r="AZ17" s="529">
        <f t="shared" si="39"/>
        <v>0</v>
      </c>
      <c r="BA17" s="529">
        <f t="shared" si="40"/>
        <v>0</v>
      </c>
      <c r="BB17" s="529">
        <f t="shared" si="41"/>
        <v>0</v>
      </c>
      <c r="BC17" s="529">
        <f t="shared" si="42"/>
        <v>0</v>
      </c>
      <c r="BD17" s="531"/>
      <c r="BE17" s="527">
        <f>AH17*(IF(ISNA(VLOOKUP($N17,Veg_Parameters!$A$3:$N$65,5,FALSE)),0,(VLOOKUP($N17,Veg_Parameters!$A$3:$N$65,5,FALSE))))</f>
        <v>0</v>
      </c>
      <c r="BF17" s="527">
        <f>IF(ISNA(VLOOKUP($N17,Veg_Parameters!$A$3:$N$65,4,FALSE)),0,(VLOOKUP($N17,Veg_Parameters!$A$3:$N$65,4,FALSE)))</f>
        <v>0</v>
      </c>
      <c r="BG17" s="527">
        <f>AH17*(IF(ISNA(VLOOKUP($N17,Veg_Parameters!$A$3:$N$65,7,FALSE)),0, (VLOOKUP($N17,Veg_Parameters!$A$3:$N$65,7,FALSE))))</f>
        <v>0</v>
      </c>
      <c r="BH17" s="527">
        <f>IF(ISNA(VLOOKUP($N17,Veg_Parameters!$A$3:$N$65,6,FALSE)), 0, (VLOOKUP($N17,Veg_Parameters!$A$3:$N$65,6,FALSE)))</f>
        <v>0</v>
      </c>
      <c r="BI17" s="529">
        <f t="shared" si="43"/>
        <v>20</v>
      </c>
      <c r="BJ17" s="529">
        <f t="shared" si="44"/>
        <v>0</v>
      </c>
      <c r="BK17" s="529">
        <f t="shared" si="45"/>
        <v>0</v>
      </c>
      <c r="BL17" s="530">
        <f t="shared" si="46"/>
        <v>0</v>
      </c>
      <c r="BM17" s="527" t="s">
        <v>3</v>
      </c>
      <c r="BN17" s="527">
        <f>IF(ISNA(VLOOKUP(N17,Veg_Parameters!$A$3:$N$65,8,FALSE)), 0, (VLOOKUP($N17,Veg_Parameters!$A$3:$N$65,8,FALSE)))</f>
        <v>0</v>
      </c>
      <c r="BO17" s="527">
        <f>AH17*(IF(ISNA(VLOOKUP($N17,Veg_Parameters!$A$3:$N$65,9,FALSE)), 0, (VLOOKUP($N17,Veg_Parameters!$A$3:$N$65,9,FALSE))))</f>
        <v>0</v>
      </c>
      <c r="BP17" s="527" t="str">
        <f>IF(ISBLANK(N17),"0",VLOOKUP($N17,Veg_Parameters!$A$4:$U$65,21,))</f>
        <v>0</v>
      </c>
      <c r="BQ17" s="529">
        <f t="shared" si="47"/>
        <v>0</v>
      </c>
      <c r="BR17" s="529">
        <f t="shared" si="48"/>
        <v>0</v>
      </c>
      <c r="BS17" s="529">
        <f t="shared" si="49"/>
        <v>0</v>
      </c>
      <c r="BT17" s="529">
        <f t="shared" si="50"/>
        <v>0</v>
      </c>
      <c r="BU17" s="529">
        <f t="shared" si="51"/>
        <v>0</v>
      </c>
      <c r="BV17" s="529">
        <f t="shared" si="52"/>
        <v>0</v>
      </c>
      <c r="BW17" s="532" t="str">
        <f t="shared" si="53"/>
        <v/>
      </c>
      <c r="BX17" s="532" t="str">
        <f t="shared" si="54"/>
        <v/>
      </c>
      <c r="BY17" s="532" t="str">
        <f t="shared" si="55"/>
        <v/>
      </c>
      <c r="BZ17" s="532" t="str">
        <f t="shared" si="56"/>
        <v/>
      </c>
      <c r="CA17" s="532">
        <f t="shared" si="57"/>
        <v>0</v>
      </c>
      <c r="CB17" s="533"/>
      <c r="CC17" s="624">
        <f t="shared" si="58"/>
        <v>0</v>
      </c>
      <c r="CD17" s="534">
        <f t="shared" si="59"/>
        <v>0</v>
      </c>
      <c r="CE17" s="534">
        <f t="shared" si="60"/>
        <v>0</v>
      </c>
      <c r="CF17" s="534">
        <f t="shared" si="61"/>
        <v>0</v>
      </c>
      <c r="CG17" s="534"/>
      <c r="CH17" s="534"/>
      <c r="CI17" s="534">
        <f t="shared" si="62"/>
        <v>0</v>
      </c>
      <c r="CL17" s="534">
        <f>IF(ISNA(VLOOKUP(I17,Veg_Parameters!$A$3:$N$65,13,FALSE)),0,(VLOOKUP(I17,Veg_Parameters!$A$3:$N$65,13,FALSE)))</f>
        <v>0</v>
      </c>
      <c r="CM17" s="534">
        <f t="shared" si="63"/>
        <v>0</v>
      </c>
      <c r="CN17" s="534">
        <f>IF(ISNA(VLOOKUP(N17,Veg_Parameters!$A$3:$N$65,13,FALSE)),0,(VLOOKUP(N17,Veg_Parameters!$A$3:$N$65,13,FALSE)))</f>
        <v>0</v>
      </c>
      <c r="CO17" s="523">
        <f t="shared" si="64"/>
        <v>0</v>
      </c>
    </row>
    <row r="18" spans="1:93" x14ac:dyDescent="0.2">
      <c r="A18" s="230"/>
      <c r="B18" s="171" t="str">
        <f t="shared" si="65"/>
        <v/>
      </c>
      <c r="C18" s="230"/>
      <c r="D18" s="169"/>
      <c r="E18" s="165"/>
      <c r="F18" s="165"/>
      <c r="G18" s="165"/>
      <c r="H18" s="165"/>
      <c r="I18" s="168"/>
      <c r="J18" s="167"/>
      <c r="K18" s="168"/>
      <c r="L18" s="167"/>
      <c r="M18" s="167"/>
      <c r="N18" s="168"/>
      <c r="O18" s="168"/>
      <c r="P18" s="167"/>
      <c r="Q18" s="167"/>
      <c r="R18" s="167"/>
      <c r="S18" s="222" t="str">
        <f>IF(ISBLANK(A18),"",IF(ISNA(VLOOKUP(I18,Veg_Parameters!$A$3:$N$65,3,FALSE)),0,(VLOOKUP(I18,Veg_Parameters!$A$3:$N$65,3,FALSE))))</f>
        <v/>
      </c>
      <c r="T18" s="222" t="str">
        <f>IF(ISBLANK(N18),"",IF(ISNA(VLOOKUP(N18,Veg_Parameters!$A$3:$N$65,3,FALSE)),0,(VLOOKUP(N18,Veg_Parameters!$A$3:$N$65,3,FALSE))))</f>
        <v/>
      </c>
      <c r="U18" s="523">
        <f t="shared" si="24"/>
        <v>0</v>
      </c>
      <c r="V18" s="523">
        <f t="shared" si="25"/>
        <v>0</v>
      </c>
      <c r="W18" s="524">
        <f>IF(ISBLANK(A18),0,IF(ISNA(VLOOKUP($I18,Veg_Parameters!$A$3:$N$65,10,FALSE)),0,(VLOOKUP($I18,Veg_Parameters!$A$3:$N$65,10,FALSE))))</f>
        <v>0</v>
      </c>
      <c r="X18" s="524">
        <f>IF(ISBLANK(A18),0,IF(ISNA(VLOOKUP($I18,Veg_Parameters!$A$3:$N$65,11,FALSE)),0,(VLOOKUP($I18,Veg_Parameters!$A$3:$N$65,11,FALSE))))</f>
        <v>0</v>
      </c>
      <c r="Y18" s="524">
        <f>IF(ISBLANK(A18),0,IF(ISNA(VLOOKUP($I18,Veg_Parameters!$A$3:$N$65,12,FALSE)),0,(VLOOKUP($I18,Veg_Parameters!$A$3:$N$65,12,FALSE))))</f>
        <v>0</v>
      </c>
      <c r="Z18" s="525">
        <f t="shared" si="1"/>
        <v>0</v>
      </c>
      <c r="AA18" s="525">
        <f t="shared" si="26"/>
        <v>0</v>
      </c>
      <c r="AB18" s="525">
        <f t="shared" si="27"/>
        <v>0</v>
      </c>
      <c r="AC18" s="524">
        <f>IF(ISBLANK(N18),0,IF(ISNA(VLOOKUP($N18,Veg_Parameters!$A$3:$N$65,10,FALSE)),0,(VLOOKUP($N18,Veg_Parameters!$A$3:$N$65,10,FALSE))))</f>
        <v>0</v>
      </c>
      <c r="AD18" s="524">
        <f>IF(ISBLANK(N18),0,IF(ISNA(VLOOKUP($N18,Veg_Parameters!$A$3:$N$65,11,FALSE)),0,(VLOOKUP($N18,Veg_Parameters!$A$3:$N$65,11,FALSE))))</f>
        <v>0</v>
      </c>
      <c r="AE18" s="524">
        <f>IF(ISBLANK(N18), 0, IF(ISNA(VLOOKUP($N18,Veg_Parameters!$A$3:$N$65,12,FALSE)),0,(VLOOKUP($N18,Veg_Parameters!$A$3:$N$65,12,FALSE))))</f>
        <v>0</v>
      </c>
      <c r="AF18" s="523">
        <f t="shared" si="28"/>
        <v>0</v>
      </c>
      <c r="AG18" s="523">
        <f t="shared" si="29"/>
        <v>0</v>
      </c>
      <c r="AH18" s="523">
        <f t="shared" si="30"/>
        <v>0</v>
      </c>
      <c r="AI18" s="526"/>
      <c r="AJ18" s="527">
        <f>AB18*(IF(ISNA(VLOOKUP($I18,Veg_Parameters!$A$3:$N$65,5,FALSE)),0,(VLOOKUP($I18,Veg_Parameters!$A$3:$N$65,5,FALSE))))</f>
        <v>0</v>
      </c>
      <c r="AK18" s="527">
        <f>IF(ISNA(VLOOKUP($I18,Veg_Parameters!$A$3:$N$65,4,FALSE)),0,(VLOOKUP($I18,Veg_Parameters!$A$3:$N$65,4,FALSE)))</f>
        <v>0</v>
      </c>
      <c r="AL18" s="527">
        <f>AB18*(IF(ISNA(VLOOKUP($I18,Veg_Parameters!$A$3:$N$65,7,FALSE)),0, (VLOOKUP($I18,Veg_Parameters!$A$3:$N$65,7,FALSE))))</f>
        <v>0</v>
      </c>
      <c r="AM18" s="528">
        <f>IF(ISNA(VLOOKUP($I18,Veg_Parameters!$A$3:$N$65,6,FALSE)), 0, (VLOOKUP($I18,Veg_Parameters!$A$3:$N$65,6,FALSE)))</f>
        <v>0</v>
      </c>
      <c r="AN18" s="529">
        <f t="shared" si="31"/>
        <v>20</v>
      </c>
      <c r="AO18" s="529">
        <f t="shared" si="32"/>
        <v>0</v>
      </c>
      <c r="AP18" s="529">
        <f t="shared" si="33"/>
        <v>0</v>
      </c>
      <c r="AQ18" s="530">
        <f t="shared" si="34"/>
        <v>0</v>
      </c>
      <c r="AR18" s="527" t="s">
        <v>3</v>
      </c>
      <c r="AS18" s="527">
        <f>IF(ISNA(VLOOKUP($I18,Veg_Parameters!$A$3:$N$65,8,FALSE)), 0, (VLOOKUP($I18,Veg_Parameters!$A$3:$N$65,8,FALSE)))</f>
        <v>0</v>
      </c>
      <c r="AT18" s="527">
        <f>AB18*(IF(ISNA(VLOOKUP($I18,Veg_Parameters!$A$3:$N$65,9,FALSE)), 0, (VLOOKUP($I18,Veg_Parameters!$A$3:$N$65,9,FALSE))))</f>
        <v>0</v>
      </c>
      <c r="AU18" s="527">
        <f>IF(ISBLANK(A18),0,VLOOKUP($I18,Veg_Parameters!$A$4:$U$65,21,))</f>
        <v>0</v>
      </c>
      <c r="AV18" s="527">
        <f t="shared" si="35"/>
        <v>0</v>
      </c>
      <c r="AW18" s="529">
        <f t="shared" si="36"/>
        <v>0</v>
      </c>
      <c r="AX18" s="529">
        <f t="shared" si="37"/>
        <v>0</v>
      </c>
      <c r="AY18" s="529">
        <f t="shared" si="38"/>
        <v>0</v>
      </c>
      <c r="AZ18" s="529">
        <f t="shared" si="39"/>
        <v>0</v>
      </c>
      <c r="BA18" s="529">
        <f t="shared" si="40"/>
        <v>0</v>
      </c>
      <c r="BB18" s="529">
        <f t="shared" si="41"/>
        <v>0</v>
      </c>
      <c r="BC18" s="529">
        <f t="shared" si="42"/>
        <v>0</v>
      </c>
      <c r="BD18" s="531"/>
      <c r="BE18" s="527">
        <f>AH18*(IF(ISNA(VLOOKUP($N18,Veg_Parameters!$A$3:$N$65,5,FALSE)),0,(VLOOKUP($N18,Veg_Parameters!$A$3:$N$65,5,FALSE))))</f>
        <v>0</v>
      </c>
      <c r="BF18" s="527">
        <f>IF(ISNA(VLOOKUP($N18,Veg_Parameters!$A$3:$N$65,4,FALSE)),0,(VLOOKUP($N18,Veg_Parameters!$A$3:$N$65,4,FALSE)))</f>
        <v>0</v>
      </c>
      <c r="BG18" s="527">
        <f>AH18*(IF(ISNA(VLOOKUP($N18,Veg_Parameters!$A$3:$N$65,7,FALSE)),0, (VLOOKUP($N18,Veg_Parameters!$A$3:$N$65,7,FALSE))))</f>
        <v>0</v>
      </c>
      <c r="BH18" s="527">
        <f>IF(ISNA(VLOOKUP($N18,Veg_Parameters!$A$3:$N$65,6,FALSE)), 0, (VLOOKUP($N18,Veg_Parameters!$A$3:$N$65,6,FALSE)))</f>
        <v>0</v>
      </c>
      <c r="BI18" s="529">
        <f t="shared" si="43"/>
        <v>20</v>
      </c>
      <c r="BJ18" s="529">
        <f t="shared" si="44"/>
        <v>0</v>
      </c>
      <c r="BK18" s="529">
        <f t="shared" si="45"/>
        <v>0</v>
      </c>
      <c r="BL18" s="530">
        <f t="shared" si="46"/>
        <v>0</v>
      </c>
      <c r="BM18" s="527" t="s">
        <v>3</v>
      </c>
      <c r="BN18" s="527">
        <f>IF(ISNA(VLOOKUP(N18,Veg_Parameters!$A$3:$N$65,8,FALSE)), 0, (VLOOKUP($N18,Veg_Parameters!$A$3:$N$65,8,FALSE)))</f>
        <v>0</v>
      </c>
      <c r="BO18" s="527">
        <f>AH18*(IF(ISNA(VLOOKUP($N18,Veg_Parameters!$A$3:$N$65,9,FALSE)), 0, (VLOOKUP($N18,Veg_Parameters!$A$3:$N$65,9,FALSE))))</f>
        <v>0</v>
      </c>
      <c r="BP18" s="527" t="str">
        <f>IF(ISBLANK(N18),"0",VLOOKUP($N18,Veg_Parameters!$A$4:$U$65,21,))</f>
        <v>0</v>
      </c>
      <c r="BQ18" s="529">
        <f t="shared" si="47"/>
        <v>0</v>
      </c>
      <c r="BR18" s="529">
        <f t="shared" si="48"/>
        <v>0</v>
      </c>
      <c r="BS18" s="529">
        <f t="shared" si="49"/>
        <v>0</v>
      </c>
      <c r="BT18" s="529">
        <f t="shared" si="50"/>
        <v>0</v>
      </c>
      <c r="BU18" s="529">
        <f t="shared" si="51"/>
        <v>0</v>
      </c>
      <c r="BV18" s="529">
        <f t="shared" si="52"/>
        <v>0</v>
      </c>
      <c r="BW18" s="532" t="str">
        <f t="shared" si="53"/>
        <v/>
      </c>
      <c r="BX18" s="532" t="str">
        <f t="shared" si="54"/>
        <v/>
      </c>
      <c r="BY18" s="532" t="str">
        <f t="shared" si="55"/>
        <v/>
      </c>
      <c r="BZ18" s="532" t="str">
        <f t="shared" si="56"/>
        <v/>
      </c>
      <c r="CA18" s="532">
        <f t="shared" si="57"/>
        <v>0</v>
      </c>
      <c r="CB18" s="533"/>
      <c r="CC18" s="624">
        <f t="shared" si="58"/>
        <v>0</v>
      </c>
      <c r="CD18" s="534">
        <f t="shared" si="59"/>
        <v>0</v>
      </c>
      <c r="CE18" s="534">
        <f t="shared" si="60"/>
        <v>0</v>
      </c>
      <c r="CF18" s="534">
        <f t="shared" si="61"/>
        <v>0</v>
      </c>
      <c r="CG18" s="534"/>
      <c r="CH18" s="534"/>
      <c r="CI18" s="534">
        <f t="shared" si="62"/>
        <v>0</v>
      </c>
      <c r="CL18" s="534">
        <f>IF(ISNA(VLOOKUP(I18,Veg_Parameters!$A$3:$N$65,13,FALSE)),0,(VLOOKUP(I18,Veg_Parameters!$A$3:$N$65,13,FALSE)))</f>
        <v>0</v>
      </c>
      <c r="CM18" s="534">
        <f t="shared" si="63"/>
        <v>0</v>
      </c>
      <c r="CN18" s="534">
        <f>IF(ISNA(VLOOKUP(N18,Veg_Parameters!$A$3:$N$65,13,FALSE)),0,(VLOOKUP(N18,Veg_Parameters!$A$3:$N$65,13,FALSE)))</f>
        <v>0</v>
      </c>
      <c r="CO18" s="523">
        <f t="shared" si="64"/>
        <v>0</v>
      </c>
    </row>
    <row r="19" spans="1:93" x14ac:dyDescent="0.2">
      <c r="A19" s="230"/>
      <c r="B19" s="171" t="str">
        <f t="shared" si="65"/>
        <v/>
      </c>
      <c r="C19" s="230"/>
      <c r="D19" s="169"/>
      <c r="E19" s="165"/>
      <c r="F19" s="165"/>
      <c r="G19" s="165"/>
      <c r="H19" s="165"/>
      <c r="I19" s="168"/>
      <c r="J19" s="167"/>
      <c r="K19" s="168"/>
      <c r="L19" s="167"/>
      <c r="M19" s="167"/>
      <c r="N19" s="168"/>
      <c r="O19" s="168"/>
      <c r="P19" s="167"/>
      <c r="Q19" s="167"/>
      <c r="R19" s="167"/>
      <c r="S19" s="222" t="str">
        <f>IF(ISBLANK(A19),"",IF(ISNA(VLOOKUP(I19,Veg_Parameters!$A$3:$N$65,3,FALSE)),0,(VLOOKUP(I19,Veg_Parameters!$A$3:$N$65,3,FALSE))))</f>
        <v/>
      </c>
      <c r="T19" s="222" t="str">
        <f>IF(ISBLANK(N19),"",IF(ISNA(VLOOKUP(N19,Veg_Parameters!$A$3:$N$65,3,FALSE)),0,(VLOOKUP(N19,Veg_Parameters!$A$3:$N$65,3,FALSE))))</f>
        <v/>
      </c>
      <c r="U19" s="523">
        <f t="shared" si="24"/>
        <v>0</v>
      </c>
      <c r="V19" s="523">
        <f t="shared" si="25"/>
        <v>0</v>
      </c>
      <c r="W19" s="524">
        <f>IF(ISBLANK(A19),0,IF(ISNA(VLOOKUP($I19,Veg_Parameters!$A$3:$N$65,10,FALSE)),0,(VLOOKUP($I19,Veg_Parameters!$A$3:$N$65,10,FALSE))))</f>
        <v>0</v>
      </c>
      <c r="X19" s="524">
        <f>IF(ISBLANK(A19),0,IF(ISNA(VLOOKUP($I19,Veg_Parameters!$A$3:$N$65,11,FALSE)),0,(VLOOKUP($I19,Veg_Parameters!$A$3:$N$65,11,FALSE))))</f>
        <v>0</v>
      </c>
      <c r="Y19" s="524">
        <f>IF(ISBLANK(A19),0,IF(ISNA(VLOOKUP($I19,Veg_Parameters!$A$3:$N$65,12,FALSE)),0,(VLOOKUP($I19,Veg_Parameters!$A$3:$N$65,12,FALSE))))</f>
        <v>0</v>
      </c>
      <c r="Z19" s="525">
        <f t="shared" si="1"/>
        <v>0</v>
      </c>
      <c r="AA19" s="525">
        <f t="shared" si="26"/>
        <v>0</v>
      </c>
      <c r="AB19" s="525">
        <f t="shared" si="27"/>
        <v>0</v>
      </c>
      <c r="AC19" s="524">
        <f>IF(ISBLANK(N19),0,IF(ISNA(VLOOKUP($N19,Veg_Parameters!$A$3:$N$65,10,FALSE)),0,(VLOOKUP($N19,Veg_Parameters!$A$3:$N$65,10,FALSE))))</f>
        <v>0</v>
      </c>
      <c r="AD19" s="524">
        <f>IF(ISBLANK(N19),0,IF(ISNA(VLOOKUP($N19,Veg_Parameters!$A$3:$N$65,11,FALSE)),0,(VLOOKUP($N19,Veg_Parameters!$A$3:$N$65,11,FALSE))))</f>
        <v>0</v>
      </c>
      <c r="AE19" s="524">
        <f>IF(ISBLANK(N19), 0, IF(ISNA(VLOOKUP($N19,Veg_Parameters!$A$3:$N$65,12,FALSE)),0,(VLOOKUP($N19,Veg_Parameters!$A$3:$N$65,12,FALSE))))</f>
        <v>0</v>
      </c>
      <c r="AF19" s="523">
        <f t="shared" si="28"/>
        <v>0</v>
      </c>
      <c r="AG19" s="523">
        <f t="shared" si="29"/>
        <v>0</v>
      </c>
      <c r="AH19" s="523">
        <f t="shared" si="30"/>
        <v>0</v>
      </c>
      <c r="AI19" s="526"/>
      <c r="AJ19" s="527">
        <f>AB19*(IF(ISNA(VLOOKUP($I19,Veg_Parameters!$A$3:$N$65,5,FALSE)),0,(VLOOKUP($I19,Veg_Parameters!$A$3:$N$65,5,FALSE))))</f>
        <v>0</v>
      </c>
      <c r="AK19" s="527">
        <f>IF(ISNA(VLOOKUP($I19,Veg_Parameters!$A$3:$N$65,4,FALSE)),0,(VLOOKUP($I19,Veg_Parameters!$A$3:$N$65,4,FALSE)))</f>
        <v>0</v>
      </c>
      <c r="AL19" s="527">
        <f>AB19*(IF(ISNA(VLOOKUP($I19,Veg_Parameters!$A$3:$N$65,7,FALSE)),0, (VLOOKUP($I19,Veg_Parameters!$A$3:$N$65,7,FALSE))))</f>
        <v>0</v>
      </c>
      <c r="AM19" s="528">
        <f>IF(ISNA(VLOOKUP($I19,Veg_Parameters!$A$3:$N$65,6,FALSE)), 0, (VLOOKUP($I19,Veg_Parameters!$A$3:$N$65,6,FALSE)))</f>
        <v>0</v>
      </c>
      <c r="AN19" s="529">
        <f t="shared" si="31"/>
        <v>20</v>
      </c>
      <c r="AO19" s="529">
        <f t="shared" si="32"/>
        <v>0</v>
      </c>
      <c r="AP19" s="529">
        <f t="shared" si="33"/>
        <v>0</v>
      </c>
      <c r="AQ19" s="530">
        <f t="shared" si="34"/>
        <v>0</v>
      </c>
      <c r="AR19" s="527" t="s">
        <v>3</v>
      </c>
      <c r="AS19" s="527">
        <f>IF(ISNA(VLOOKUP($I19,Veg_Parameters!$A$3:$N$65,8,FALSE)), 0, (VLOOKUP($I19,Veg_Parameters!$A$3:$N$65,8,FALSE)))</f>
        <v>0</v>
      </c>
      <c r="AT19" s="527">
        <f>AB19*(IF(ISNA(VLOOKUP($I19,Veg_Parameters!$A$3:$N$65,9,FALSE)), 0, (VLOOKUP($I19,Veg_Parameters!$A$3:$N$65,9,FALSE))))</f>
        <v>0</v>
      </c>
      <c r="AU19" s="527">
        <f>IF(ISBLANK(A19),0,VLOOKUP($I19,Veg_Parameters!$A$4:$U$65,21,))</f>
        <v>0</v>
      </c>
      <c r="AV19" s="527">
        <f t="shared" si="35"/>
        <v>0</v>
      </c>
      <c r="AW19" s="529">
        <f t="shared" si="36"/>
        <v>0</v>
      </c>
      <c r="AX19" s="529">
        <f t="shared" si="37"/>
        <v>0</v>
      </c>
      <c r="AY19" s="529">
        <f t="shared" si="38"/>
        <v>0</v>
      </c>
      <c r="AZ19" s="529">
        <f t="shared" si="39"/>
        <v>0</v>
      </c>
      <c r="BA19" s="529">
        <f t="shared" si="40"/>
        <v>0</v>
      </c>
      <c r="BB19" s="529">
        <f t="shared" si="41"/>
        <v>0</v>
      </c>
      <c r="BC19" s="529">
        <f t="shared" si="42"/>
        <v>0</v>
      </c>
      <c r="BD19" s="531"/>
      <c r="BE19" s="527">
        <f>AH19*(IF(ISNA(VLOOKUP($N19,Veg_Parameters!$A$3:$N$65,5,FALSE)),0,(VLOOKUP($N19,Veg_Parameters!$A$3:$N$65,5,FALSE))))</f>
        <v>0</v>
      </c>
      <c r="BF19" s="527">
        <f>IF(ISNA(VLOOKUP($N19,Veg_Parameters!$A$3:$N$65,4,FALSE)),0,(VLOOKUP($N19,Veg_Parameters!$A$3:$N$65,4,FALSE)))</f>
        <v>0</v>
      </c>
      <c r="BG19" s="527">
        <f>AH19*(IF(ISNA(VLOOKUP($N19,Veg_Parameters!$A$3:$N$65,7,FALSE)),0, (VLOOKUP($N19,Veg_Parameters!$A$3:$N$65,7,FALSE))))</f>
        <v>0</v>
      </c>
      <c r="BH19" s="527">
        <f>IF(ISNA(VLOOKUP($N19,Veg_Parameters!$A$3:$N$65,6,FALSE)), 0, (VLOOKUP($N19,Veg_Parameters!$A$3:$N$65,6,FALSE)))</f>
        <v>0</v>
      </c>
      <c r="BI19" s="529">
        <f t="shared" si="43"/>
        <v>20</v>
      </c>
      <c r="BJ19" s="529">
        <f t="shared" si="44"/>
        <v>0</v>
      </c>
      <c r="BK19" s="529">
        <f t="shared" si="45"/>
        <v>0</v>
      </c>
      <c r="BL19" s="530">
        <f t="shared" si="46"/>
        <v>0</v>
      </c>
      <c r="BM19" s="527" t="s">
        <v>3</v>
      </c>
      <c r="BN19" s="527">
        <f>IF(ISNA(VLOOKUP(N19,Veg_Parameters!$A$3:$N$65,8,FALSE)), 0, (VLOOKUP($N19,Veg_Parameters!$A$3:$N$65,8,FALSE)))</f>
        <v>0</v>
      </c>
      <c r="BO19" s="527">
        <f>AH19*(IF(ISNA(VLOOKUP($N19,Veg_Parameters!$A$3:$N$65,9,FALSE)), 0, (VLOOKUP($N19,Veg_Parameters!$A$3:$N$65,9,FALSE))))</f>
        <v>0</v>
      </c>
      <c r="BP19" s="527" t="str">
        <f>IF(ISBLANK(N19),"0",VLOOKUP($N19,Veg_Parameters!$A$4:$U$65,21,))</f>
        <v>0</v>
      </c>
      <c r="BQ19" s="529">
        <f t="shared" si="47"/>
        <v>0</v>
      </c>
      <c r="BR19" s="529">
        <f t="shared" si="48"/>
        <v>0</v>
      </c>
      <c r="BS19" s="529">
        <f t="shared" si="49"/>
        <v>0</v>
      </c>
      <c r="BT19" s="529">
        <f t="shared" si="50"/>
        <v>0</v>
      </c>
      <c r="BU19" s="529">
        <f t="shared" si="51"/>
        <v>0</v>
      </c>
      <c r="BV19" s="529">
        <f t="shared" si="52"/>
        <v>0</v>
      </c>
      <c r="BW19" s="532" t="str">
        <f t="shared" si="53"/>
        <v/>
      </c>
      <c r="BX19" s="532" t="str">
        <f t="shared" si="54"/>
        <v/>
      </c>
      <c r="BY19" s="532" t="str">
        <f t="shared" si="55"/>
        <v/>
      </c>
      <c r="BZ19" s="532" t="str">
        <f t="shared" si="56"/>
        <v/>
      </c>
      <c r="CA19" s="532">
        <f t="shared" si="57"/>
        <v>0</v>
      </c>
      <c r="CB19" s="533"/>
      <c r="CC19" s="624">
        <f t="shared" si="58"/>
        <v>0</v>
      </c>
      <c r="CD19" s="534">
        <f t="shared" si="59"/>
        <v>0</v>
      </c>
      <c r="CE19" s="534">
        <f t="shared" si="60"/>
        <v>0</v>
      </c>
      <c r="CF19" s="534">
        <f t="shared" si="61"/>
        <v>0</v>
      </c>
      <c r="CG19" s="534"/>
      <c r="CH19" s="534"/>
      <c r="CI19" s="534">
        <f t="shared" si="62"/>
        <v>0</v>
      </c>
      <c r="CL19" s="534">
        <f>IF(ISNA(VLOOKUP(I19,Veg_Parameters!$A$3:$N$65,13,FALSE)),0,(VLOOKUP(I19,Veg_Parameters!$A$3:$N$65,13,FALSE)))</f>
        <v>0</v>
      </c>
      <c r="CM19" s="534">
        <f t="shared" si="63"/>
        <v>0</v>
      </c>
      <c r="CN19" s="534">
        <f>IF(ISNA(VLOOKUP(N19,Veg_Parameters!$A$3:$N$65,13,FALSE)),0,(VLOOKUP(N19,Veg_Parameters!$A$3:$N$65,13,FALSE)))</f>
        <v>0</v>
      </c>
      <c r="CO19" s="523">
        <f t="shared" si="64"/>
        <v>0</v>
      </c>
    </row>
    <row r="20" spans="1:93" x14ac:dyDescent="0.2">
      <c r="A20" s="227"/>
      <c r="B20" s="171" t="str">
        <f t="shared" si="65"/>
        <v/>
      </c>
      <c r="C20" s="230"/>
      <c r="D20" s="169"/>
      <c r="E20" s="165"/>
      <c r="F20" s="165"/>
      <c r="G20" s="165"/>
      <c r="H20" s="165"/>
      <c r="I20" s="168"/>
      <c r="J20" s="167"/>
      <c r="K20" s="168"/>
      <c r="L20" s="167"/>
      <c r="M20" s="167"/>
      <c r="N20" s="168"/>
      <c r="O20" s="168"/>
      <c r="P20" s="167"/>
      <c r="Q20" s="167"/>
      <c r="R20" s="167"/>
      <c r="S20" s="222" t="str">
        <f>IF(ISBLANK(A20),"",IF(ISNA(VLOOKUP(I20,Veg_Parameters!$A$3:$N$65,3,FALSE)),0,(VLOOKUP(I20,Veg_Parameters!$A$3:$N$65,3,FALSE))))</f>
        <v/>
      </c>
      <c r="T20" s="222" t="str">
        <f>IF(ISBLANK(N20),"",IF(ISNA(VLOOKUP(N20,Veg_Parameters!$A$3:$N$65,3,FALSE)),0,(VLOOKUP(N20,Veg_Parameters!$A$3:$N$65,3,FALSE))))</f>
        <v/>
      </c>
      <c r="U20" s="523">
        <f t="shared" si="24"/>
        <v>0</v>
      </c>
      <c r="V20" s="523">
        <f t="shared" si="25"/>
        <v>0</v>
      </c>
      <c r="W20" s="524">
        <f>IF(ISBLANK(A20),0,IF(ISNA(VLOOKUP($I20,Veg_Parameters!$A$3:$N$65,10,FALSE)),0,(VLOOKUP($I20,Veg_Parameters!$A$3:$N$65,10,FALSE))))</f>
        <v>0</v>
      </c>
      <c r="X20" s="524">
        <f>IF(ISBLANK(A20),0,IF(ISNA(VLOOKUP($I20,Veg_Parameters!$A$3:$N$65,11,FALSE)),0,(VLOOKUP($I20,Veg_Parameters!$A$3:$N$65,11,FALSE))))</f>
        <v>0</v>
      </c>
      <c r="Y20" s="524">
        <f>IF(ISBLANK(A20),0,IF(ISNA(VLOOKUP($I20,Veg_Parameters!$A$3:$N$65,12,FALSE)),0,(VLOOKUP($I20,Veg_Parameters!$A$3:$N$65,12,FALSE))))</f>
        <v>0</v>
      </c>
      <c r="Z20" s="525">
        <f t="shared" si="1"/>
        <v>0</v>
      </c>
      <c r="AA20" s="525">
        <f t="shared" si="26"/>
        <v>0</v>
      </c>
      <c r="AB20" s="525">
        <f t="shared" si="27"/>
        <v>0</v>
      </c>
      <c r="AC20" s="524">
        <f>IF(ISBLANK(N20),0,IF(ISNA(VLOOKUP($N20,Veg_Parameters!$A$3:$N$65,10,FALSE)),0,(VLOOKUP($N20,Veg_Parameters!$A$3:$N$65,10,FALSE))))</f>
        <v>0</v>
      </c>
      <c r="AD20" s="524">
        <f>IF(ISBLANK(N20),0,IF(ISNA(VLOOKUP($N20,Veg_Parameters!$A$3:$N$65,11,FALSE)),0,(VLOOKUP($N20,Veg_Parameters!$A$3:$N$65,11,FALSE))))</f>
        <v>0</v>
      </c>
      <c r="AE20" s="524">
        <f>IF(ISBLANK(N20), 0, IF(ISNA(VLOOKUP($N20,Veg_Parameters!$A$3:$N$65,12,FALSE)),0,(VLOOKUP($N20,Veg_Parameters!$A$3:$N$65,12,FALSE))))</f>
        <v>0</v>
      </c>
      <c r="AF20" s="523">
        <f t="shared" si="28"/>
        <v>0</v>
      </c>
      <c r="AG20" s="523">
        <f t="shared" si="29"/>
        <v>0</v>
      </c>
      <c r="AH20" s="523">
        <f t="shared" si="30"/>
        <v>0</v>
      </c>
      <c r="AI20" s="526"/>
      <c r="AJ20" s="527">
        <f>AB20*(IF(ISNA(VLOOKUP($I20,Veg_Parameters!$A$3:$N$65,5,FALSE)),0,(VLOOKUP($I20,Veg_Parameters!$A$3:$N$65,5,FALSE))))</f>
        <v>0</v>
      </c>
      <c r="AK20" s="527">
        <f>IF(ISNA(VLOOKUP($I20,Veg_Parameters!$A$3:$N$65,4,FALSE)),0,(VLOOKUP($I20,Veg_Parameters!$A$3:$N$65,4,FALSE)))</f>
        <v>0</v>
      </c>
      <c r="AL20" s="527">
        <f>AB20*(IF(ISNA(VLOOKUP($I20,Veg_Parameters!$A$3:$N$65,7,FALSE)),0, (VLOOKUP($I20,Veg_Parameters!$A$3:$N$65,7,FALSE))))</f>
        <v>0</v>
      </c>
      <c r="AM20" s="528">
        <f>IF(ISNA(VLOOKUP($I20,Veg_Parameters!$A$3:$N$65,6,FALSE)), 0, (VLOOKUP($I20,Veg_Parameters!$A$3:$N$65,6,FALSE)))</f>
        <v>0</v>
      </c>
      <c r="AN20" s="529">
        <f t="shared" si="31"/>
        <v>20</v>
      </c>
      <c r="AO20" s="529">
        <f t="shared" si="32"/>
        <v>0</v>
      </c>
      <c r="AP20" s="529">
        <f t="shared" si="33"/>
        <v>0</v>
      </c>
      <c r="AQ20" s="530">
        <f t="shared" si="34"/>
        <v>0</v>
      </c>
      <c r="AR20" s="527" t="s">
        <v>3</v>
      </c>
      <c r="AS20" s="527">
        <f>IF(ISNA(VLOOKUP($I20,Veg_Parameters!$A$3:$N$65,8,FALSE)), 0, (VLOOKUP($I20,Veg_Parameters!$A$3:$N$65,8,FALSE)))</f>
        <v>0</v>
      </c>
      <c r="AT20" s="527">
        <f>AB20*(IF(ISNA(VLOOKUP($I20,Veg_Parameters!$A$3:$N$65,9,FALSE)), 0, (VLOOKUP($I20,Veg_Parameters!$A$3:$N$65,9,FALSE))))</f>
        <v>0</v>
      </c>
      <c r="AU20" s="527">
        <f>IF(ISBLANK(A20),0,VLOOKUP($I20,Veg_Parameters!$A$4:$U$65,21,))</f>
        <v>0</v>
      </c>
      <c r="AV20" s="527">
        <f t="shared" si="35"/>
        <v>0</v>
      </c>
      <c r="AW20" s="529">
        <f t="shared" si="36"/>
        <v>0</v>
      </c>
      <c r="AX20" s="529">
        <f t="shared" si="37"/>
        <v>0</v>
      </c>
      <c r="AY20" s="529">
        <f t="shared" si="38"/>
        <v>0</v>
      </c>
      <c r="AZ20" s="529">
        <f t="shared" si="39"/>
        <v>0</v>
      </c>
      <c r="BA20" s="529">
        <f t="shared" si="40"/>
        <v>0</v>
      </c>
      <c r="BB20" s="529">
        <f t="shared" si="41"/>
        <v>0</v>
      </c>
      <c r="BC20" s="529">
        <f t="shared" si="42"/>
        <v>0</v>
      </c>
      <c r="BD20" s="531"/>
      <c r="BE20" s="527">
        <f>AH20*(IF(ISNA(VLOOKUP($N20,Veg_Parameters!$A$3:$N$65,5,FALSE)),0,(VLOOKUP($N20,Veg_Parameters!$A$3:$N$65,5,FALSE))))</f>
        <v>0</v>
      </c>
      <c r="BF20" s="527">
        <f>IF(ISNA(VLOOKUP($N20,Veg_Parameters!$A$3:$N$65,4,FALSE)),0,(VLOOKUP($N20,Veg_Parameters!$A$3:$N$65,4,FALSE)))</f>
        <v>0</v>
      </c>
      <c r="BG20" s="527">
        <f>AH20*(IF(ISNA(VLOOKUP($N20,Veg_Parameters!$A$3:$N$65,7,FALSE)),0, (VLOOKUP($N20,Veg_Parameters!$A$3:$N$65,7,FALSE))))</f>
        <v>0</v>
      </c>
      <c r="BH20" s="527">
        <f>IF(ISNA(VLOOKUP($N20,Veg_Parameters!$A$3:$N$65,6,FALSE)), 0, (VLOOKUP($N20,Veg_Parameters!$A$3:$N$65,6,FALSE)))</f>
        <v>0</v>
      </c>
      <c r="BI20" s="529">
        <f t="shared" si="43"/>
        <v>20</v>
      </c>
      <c r="BJ20" s="529">
        <f t="shared" si="44"/>
        <v>0</v>
      </c>
      <c r="BK20" s="529">
        <f t="shared" si="45"/>
        <v>0</v>
      </c>
      <c r="BL20" s="530">
        <f t="shared" si="46"/>
        <v>0</v>
      </c>
      <c r="BM20" s="527" t="s">
        <v>3</v>
      </c>
      <c r="BN20" s="527">
        <f>IF(ISNA(VLOOKUP(N20,Veg_Parameters!$A$3:$N$65,8,FALSE)), 0, (VLOOKUP($N20,Veg_Parameters!$A$3:$N$65,8,FALSE)))</f>
        <v>0</v>
      </c>
      <c r="BO20" s="527">
        <f>AH20*(IF(ISNA(VLOOKUP($N20,Veg_Parameters!$A$3:$N$65,9,FALSE)), 0, (VLOOKUP($N20,Veg_Parameters!$A$3:$N$65,9,FALSE))))</f>
        <v>0</v>
      </c>
      <c r="BP20" s="527" t="str">
        <f>IF(ISBLANK(N20),"0",VLOOKUP($N20,Veg_Parameters!$A$4:$U$65,21,))</f>
        <v>0</v>
      </c>
      <c r="BQ20" s="529">
        <f t="shared" si="47"/>
        <v>0</v>
      </c>
      <c r="BR20" s="529">
        <f t="shared" si="48"/>
        <v>0</v>
      </c>
      <c r="BS20" s="529">
        <f t="shared" si="49"/>
        <v>0</v>
      </c>
      <c r="BT20" s="529">
        <f t="shared" si="50"/>
        <v>0</v>
      </c>
      <c r="BU20" s="529">
        <f t="shared" si="51"/>
        <v>0</v>
      </c>
      <c r="BV20" s="529">
        <f t="shared" si="52"/>
        <v>0</v>
      </c>
      <c r="BW20" s="532" t="str">
        <f t="shared" si="53"/>
        <v/>
      </c>
      <c r="BX20" s="532" t="str">
        <f t="shared" si="54"/>
        <v/>
      </c>
      <c r="BY20" s="532" t="str">
        <f t="shared" si="55"/>
        <v/>
      </c>
      <c r="BZ20" s="532" t="str">
        <f t="shared" si="56"/>
        <v/>
      </c>
      <c r="CA20" s="532">
        <f t="shared" si="57"/>
        <v>0</v>
      </c>
      <c r="CB20" s="533"/>
      <c r="CC20" s="624">
        <f t="shared" si="58"/>
        <v>0</v>
      </c>
      <c r="CD20" s="534">
        <f t="shared" si="59"/>
        <v>0</v>
      </c>
      <c r="CE20" s="534">
        <f t="shared" si="60"/>
        <v>0</v>
      </c>
      <c r="CF20" s="534">
        <f t="shared" si="61"/>
        <v>0</v>
      </c>
      <c r="CG20" s="534"/>
      <c r="CH20" s="534"/>
      <c r="CI20" s="534">
        <f t="shared" si="62"/>
        <v>0</v>
      </c>
      <c r="CL20" s="534">
        <f>IF(ISNA(VLOOKUP(I20,Veg_Parameters!$A$3:$N$65,13,FALSE)),0,(VLOOKUP(I20,Veg_Parameters!$A$3:$N$65,13,FALSE)))</f>
        <v>0</v>
      </c>
      <c r="CM20" s="534">
        <f t="shared" si="63"/>
        <v>0</v>
      </c>
      <c r="CN20" s="534">
        <f>IF(ISNA(VLOOKUP(N20,Veg_Parameters!$A$3:$N$65,13,FALSE)),0,(VLOOKUP(N20,Veg_Parameters!$A$3:$N$65,13,FALSE)))</f>
        <v>0</v>
      </c>
      <c r="CO20" s="523">
        <f t="shared" si="64"/>
        <v>0</v>
      </c>
    </row>
    <row r="21" spans="1:93" x14ac:dyDescent="0.2">
      <c r="A21" s="227"/>
      <c r="B21" s="171" t="str">
        <f t="shared" si="65"/>
        <v/>
      </c>
      <c r="C21" s="230"/>
      <c r="D21" s="169"/>
      <c r="E21" s="165"/>
      <c r="F21" s="165"/>
      <c r="G21" s="165"/>
      <c r="H21" s="165"/>
      <c r="I21" s="166"/>
      <c r="J21" s="167"/>
      <c r="K21" s="166"/>
      <c r="L21" s="166"/>
      <c r="M21" s="167"/>
      <c r="N21" s="166"/>
      <c r="O21" s="166"/>
      <c r="P21" s="166"/>
      <c r="Q21" s="167"/>
      <c r="R21" s="167"/>
      <c r="S21" s="222" t="str">
        <f>IF(ISBLANK(A21),"",IF(ISNA(VLOOKUP(I21,Veg_Parameters!$A$3:$N$65,3,FALSE)),0,(VLOOKUP(I21,Veg_Parameters!$A$3:$N$65,3,FALSE))))</f>
        <v/>
      </c>
      <c r="T21" s="222" t="str">
        <f>IF(ISBLANK(N21),"",IF(ISNA(VLOOKUP(N21,Veg_Parameters!$A$3:$N$65,3,FALSE)),0,(VLOOKUP(N21,Veg_Parameters!$A$3:$N$65,3,FALSE))))</f>
        <v/>
      </c>
      <c r="U21" s="523">
        <f t="shared" si="24"/>
        <v>0</v>
      </c>
      <c r="V21" s="523">
        <f t="shared" si="25"/>
        <v>0</v>
      </c>
      <c r="W21" s="524">
        <f>IF(ISBLANK(A21),0,IF(ISNA(VLOOKUP($I21,Veg_Parameters!$A$3:$N$65,10,FALSE)),0,(VLOOKUP($I21,Veg_Parameters!$A$3:$N$65,10,FALSE))))</f>
        <v>0</v>
      </c>
      <c r="X21" s="524">
        <f>IF(ISBLANK(A21),0,IF(ISNA(VLOOKUP($I21,Veg_Parameters!$A$3:$N$65,11,FALSE)),0,(VLOOKUP($I21,Veg_Parameters!$A$3:$N$65,11,FALSE))))</f>
        <v>0</v>
      </c>
      <c r="Y21" s="524">
        <f>IF(ISBLANK(A21),0,IF(ISNA(VLOOKUP($I21,Veg_Parameters!$A$3:$N$65,12,FALSE)),0,(VLOOKUP($I21,Veg_Parameters!$A$3:$N$65,12,FALSE))))</f>
        <v>0</v>
      </c>
      <c r="Z21" s="525">
        <f t="shared" si="1"/>
        <v>0</v>
      </c>
      <c r="AA21" s="525">
        <f t="shared" si="26"/>
        <v>0</v>
      </c>
      <c r="AB21" s="525">
        <f t="shared" si="27"/>
        <v>0</v>
      </c>
      <c r="AC21" s="524">
        <f>IF(ISBLANK(N21),0,IF(ISNA(VLOOKUP($N21,Veg_Parameters!$A$3:$N$65,10,FALSE)),0,(VLOOKUP($N21,Veg_Parameters!$A$3:$N$65,10,FALSE))))</f>
        <v>0</v>
      </c>
      <c r="AD21" s="524">
        <f>IF(ISBLANK(N21),0,IF(ISNA(VLOOKUP($N21,Veg_Parameters!$A$3:$N$65,11,FALSE)),0,(VLOOKUP($N21,Veg_Parameters!$A$3:$N$65,11,FALSE))))</f>
        <v>0</v>
      </c>
      <c r="AE21" s="524">
        <f>IF(ISBLANK(N21), 0, IF(ISNA(VLOOKUP($N21,Veg_Parameters!$A$3:$N$65,12,FALSE)),0,(VLOOKUP($N21,Veg_Parameters!$A$3:$N$65,12,FALSE))))</f>
        <v>0</v>
      </c>
      <c r="AF21" s="523">
        <f t="shared" si="28"/>
        <v>0</v>
      </c>
      <c r="AG21" s="523">
        <f t="shared" si="29"/>
        <v>0</v>
      </c>
      <c r="AH21" s="523">
        <f t="shared" si="30"/>
        <v>0</v>
      </c>
      <c r="AI21" s="526"/>
      <c r="AJ21" s="527">
        <f>AB21*(IF(ISNA(VLOOKUP($I21,Veg_Parameters!$A$3:$N$65,5,FALSE)),0,(VLOOKUP($I21,Veg_Parameters!$A$3:$N$65,5,FALSE))))</f>
        <v>0</v>
      </c>
      <c r="AK21" s="527">
        <f>IF(ISNA(VLOOKUP($I21,Veg_Parameters!$A$3:$N$65,4,FALSE)),0,(VLOOKUP($I21,Veg_Parameters!$A$3:$N$65,4,FALSE)))</f>
        <v>0</v>
      </c>
      <c r="AL21" s="527">
        <f>AB21*(IF(ISNA(VLOOKUP($I21,Veg_Parameters!$A$3:$N$65,7,FALSE)),0, (VLOOKUP($I21,Veg_Parameters!$A$3:$N$65,7,FALSE))))</f>
        <v>0</v>
      </c>
      <c r="AM21" s="528">
        <f>IF(ISNA(VLOOKUP($I21,Veg_Parameters!$A$3:$N$65,6,FALSE)), 0, (VLOOKUP($I21,Veg_Parameters!$A$3:$N$65,6,FALSE)))</f>
        <v>0</v>
      </c>
      <c r="AN21" s="529">
        <f t="shared" si="31"/>
        <v>20</v>
      </c>
      <c r="AO21" s="529">
        <f t="shared" si="32"/>
        <v>0</v>
      </c>
      <c r="AP21" s="529">
        <f t="shared" si="33"/>
        <v>0</v>
      </c>
      <c r="AQ21" s="530">
        <f t="shared" si="34"/>
        <v>0</v>
      </c>
      <c r="AR21" s="527" t="s">
        <v>3</v>
      </c>
      <c r="AS21" s="527">
        <f>IF(ISNA(VLOOKUP($I21,Veg_Parameters!$A$3:$N$65,8,FALSE)), 0, (VLOOKUP($I21,Veg_Parameters!$A$3:$N$65,8,FALSE)))</f>
        <v>0</v>
      </c>
      <c r="AT21" s="527">
        <f>AB21*(IF(ISNA(VLOOKUP($I21,Veg_Parameters!$A$3:$N$65,9,FALSE)), 0, (VLOOKUP($I21,Veg_Parameters!$A$3:$N$65,9,FALSE))))</f>
        <v>0</v>
      </c>
      <c r="AU21" s="527">
        <f>IF(ISBLANK(A21),0,VLOOKUP($I21,Veg_Parameters!$A$4:$U$65,21,))</f>
        <v>0</v>
      </c>
      <c r="AV21" s="527">
        <f t="shared" si="35"/>
        <v>0</v>
      </c>
      <c r="AW21" s="529">
        <f t="shared" si="36"/>
        <v>0</v>
      </c>
      <c r="AX21" s="529">
        <f t="shared" si="37"/>
        <v>0</v>
      </c>
      <c r="AY21" s="529">
        <f t="shared" si="38"/>
        <v>0</v>
      </c>
      <c r="AZ21" s="529">
        <f t="shared" si="39"/>
        <v>0</v>
      </c>
      <c r="BA21" s="529">
        <f t="shared" si="40"/>
        <v>0</v>
      </c>
      <c r="BB21" s="529">
        <f t="shared" si="41"/>
        <v>0</v>
      </c>
      <c r="BC21" s="529">
        <f t="shared" si="42"/>
        <v>0</v>
      </c>
      <c r="BD21" s="531"/>
      <c r="BE21" s="527">
        <f>AH21*(IF(ISNA(VLOOKUP($N21,Veg_Parameters!$A$3:$N$65,5,FALSE)),0,(VLOOKUP($N21,Veg_Parameters!$A$3:$N$65,5,FALSE))))</f>
        <v>0</v>
      </c>
      <c r="BF21" s="527">
        <f>IF(ISNA(VLOOKUP($N21,Veg_Parameters!$A$3:$N$65,4,FALSE)),0,(VLOOKUP($N21,Veg_Parameters!$A$3:$N$65,4,FALSE)))</f>
        <v>0</v>
      </c>
      <c r="BG21" s="527">
        <f>AH21*(IF(ISNA(VLOOKUP($N21,Veg_Parameters!$A$3:$N$65,7,FALSE)),0, (VLOOKUP($N21,Veg_Parameters!$A$3:$N$65,7,FALSE))))</f>
        <v>0</v>
      </c>
      <c r="BH21" s="527">
        <f>IF(ISNA(VLOOKUP($N21,Veg_Parameters!$A$3:$N$65,6,FALSE)), 0, (VLOOKUP($N21,Veg_Parameters!$A$3:$N$65,6,FALSE)))</f>
        <v>0</v>
      </c>
      <c r="BI21" s="529">
        <f t="shared" si="43"/>
        <v>20</v>
      </c>
      <c r="BJ21" s="529">
        <f t="shared" si="44"/>
        <v>0</v>
      </c>
      <c r="BK21" s="529">
        <f t="shared" si="45"/>
        <v>0</v>
      </c>
      <c r="BL21" s="530">
        <f t="shared" si="46"/>
        <v>0</v>
      </c>
      <c r="BM21" s="527" t="s">
        <v>3</v>
      </c>
      <c r="BN21" s="527">
        <f>IF(ISNA(VLOOKUP(N21,Veg_Parameters!$A$3:$N$65,8,FALSE)), 0, (VLOOKUP($N21,Veg_Parameters!$A$3:$N$65,8,FALSE)))</f>
        <v>0</v>
      </c>
      <c r="BO21" s="527">
        <f>AH21*(IF(ISNA(VLOOKUP($N21,Veg_Parameters!$A$3:$N$65,9,FALSE)), 0, (VLOOKUP($N21,Veg_Parameters!$A$3:$N$65,9,FALSE))))</f>
        <v>0</v>
      </c>
      <c r="BP21" s="527" t="str">
        <f>IF(ISBLANK(N21),"0",VLOOKUP($N21,Veg_Parameters!$A$4:$U$65,21,))</f>
        <v>0</v>
      </c>
      <c r="BQ21" s="529">
        <f t="shared" si="47"/>
        <v>0</v>
      </c>
      <c r="BR21" s="529">
        <f t="shared" si="48"/>
        <v>0</v>
      </c>
      <c r="BS21" s="529">
        <f t="shared" si="49"/>
        <v>0</v>
      </c>
      <c r="BT21" s="529">
        <f t="shared" si="50"/>
        <v>0</v>
      </c>
      <c r="BU21" s="529">
        <f t="shared" si="51"/>
        <v>0</v>
      </c>
      <c r="BV21" s="529">
        <f t="shared" si="52"/>
        <v>0</v>
      </c>
      <c r="BW21" s="532" t="str">
        <f t="shared" si="53"/>
        <v/>
      </c>
      <c r="BX21" s="532" t="str">
        <f t="shared" si="54"/>
        <v/>
      </c>
      <c r="BY21" s="532" t="str">
        <f t="shared" si="55"/>
        <v/>
      </c>
      <c r="BZ21" s="532" t="str">
        <f t="shared" si="56"/>
        <v/>
      </c>
      <c r="CA21" s="532">
        <f t="shared" si="57"/>
        <v>0</v>
      </c>
      <c r="CB21" s="533"/>
      <c r="CC21" s="624">
        <f t="shared" si="58"/>
        <v>0</v>
      </c>
      <c r="CD21" s="534">
        <f t="shared" si="59"/>
        <v>0</v>
      </c>
      <c r="CE21" s="534">
        <f t="shared" si="60"/>
        <v>0</v>
      </c>
      <c r="CF21" s="534">
        <f t="shared" si="61"/>
        <v>0</v>
      </c>
      <c r="CG21" s="534"/>
      <c r="CH21" s="534"/>
      <c r="CI21" s="534">
        <f t="shared" si="62"/>
        <v>0</v>
      </c>
      <c r="CL21" s="534">
        <f>IF(ISNA(VLOOKUP(I21,Veg_Parameters!$A$3:$N$65,13,FALSE)),0,(VLOOKUP(I21,Veg_Parameters!$A$3:$N$65,13,FALSE)))</f>
        <v>0</v>
      </c>
      <c r="CM21" s="534">
        <f t="shared" si="63"/>
        <v>0</v>
      </c>
      <c r="CN21" s="534">
        <f>IF(ISNA(VLOOKUP(N21,Veg_Parameters!$A$3:$N$65,13,FALSE)),0,(VLOOKUP(N21,Veg_Parameters!$A$3:$N$65,13,FALSE)))</f>
        <v>0</v>
      </c>
      <c r="CO21" s="523">
        <f t="shared" si="64"/>
        <v>0</v>
      </c>
    </row>
    <row r="22" spans="1:93" x14ac:dyDescent="0.2">
      <c r="A22" s="227"/>
      <c r="B22" s="171" t="str">
        <f t="shared" si="65"/>
        <v/>
      </c>
      <c r="C22" s="230"/>
      <c r="D22" s="169"/>
      <c r="E22" s="165"/>
      <c r="F22" s="165"/>
      <c r="G22" s="165"/>
      <c r="H22" s="165"/>
      <c r="I22" s="166"/>
      <c r="J22" s="167"/>
      <c r="K22" s="166"/>
      <c r="L22" s="167"/>
      <c r="M22" s="167"/>
      <c r="N22" s="166"/>
      <c r="O22" s="166"/>
      <c r="P22" s="167"/>
      <c r="Q22" s="167"/>
      <c r="R22" s="167"/>
      <c r="S22" s="222" t="str">
        <f>IF(ISBLANK(A22),"",IF(ISNA(VLOOKUP(I22,Veg_Parameters!$A$3:$N$65,3,FALSE)),0,(VLOOKUP(I22,Veg_Parameters!$A$3:$N$65,3,FALSE))))</f>
        <v/>
      </c>
      <c r="T22" s="222" t="str">
        <f>IF(ISBLANK(N22),"",IF(ISNA(VLOOKUP(N22,Veg_Parameters!$A$3:$N$65,3,FALSE)),0,(VLOOKUP(N22,Veg_Parameters!$A$3:$N$65,3,FALSE))))</f>
        <v/>
      </c>
      <c r="U22" s="523">
        <f t="shared" si="24"/>
        <v>0</v>
      </c>
      <c r="V22" s="523">
        <f t="shared" si="25"/>
        <v>0</v>
      </c>
      <c r="W22" s="524">
        <f>IF(ISBLANK(A22),0,IF(ISNA(VLOOKUP($I22,Veg_Parameters!$A$3:$N$65,10,FALSE)),0,(VLOOKUP($I22,Veg_Parameters!$A$3:$N$65,10,FALSE))))</f>
        <v>0</v>
      </c>
      <c r="X22" s="524">
        <f>IF(ISBLANK(A22),0,IF(ISNA(VLOOKUP($I22,Veg_Parameters!$A$3:$N$65,11,FALSE)),0,(VLOOKUP($I22,Veg_Parameters!$A$3:$N$65,11,FALSE))))</f>
        <v>0</v>
      </c>
      <c r="Y22" s="524">
        <f>IF(ISBLANK(A22),0,IF(ISNA(VLOOKUP($I22,Veg_Parameters!$A$3:$N$65,12,FALSE)),0,(VLOOKUP($I22,Veg_Parameters!$A$3:$N$65,12,FALSE))))</f>
        <v>0</v>
      </c>
      <c r="Z22" s="525">
        <f t="shared" si="1"/>
        <v>0</v>
      </c>
      <c r="AA22" s="525">
        <f t="shared" si="26"/>
        <v>0</v>
      </c>
      <c r="AB22" s="525">
        <f t="shared" si="27"/>
        <v>0</v>
      </c>
      <c r="AC22" s="524">
        <f>IF(ISBLANK(N22),0,IF(ISNA(VLOOKUP($N22,Veg_Parameters!$A$3:$N$65,10,FALSE)),0,(VLOOKUP($N22,Veg_Parameters!$A$3:$N$65,10,FALSE))))</f>
        <v>0</v>
      </c>
      <c r="AD22" s="524">
        <f>IF(ISBLANK(N22),0,IF(ISNA(VLOOKUP($N22,Veg_Parameters!$A$3:$N$65,11,FALSE)),0,(VLOOKUP($N22,Veg_Parameters!$A$3:$N$65,11,FALSE))))</f>
        <v>0</v>
      </c>
      <c r="AE22" s="524">
        <f>IF(ISBLANK(N22), 0, IF(ISNA(VLOOKUP($N22,Veg_Parameters!$A$3:$N$65,12,FALSE)),0,(VLOOKUP($N22,Veg_Parameters!$A$3:$N$65,12,FALSE))))</f>
        <v>0</v>
      </c>
      <c r="AF22" s="523">
        <f t="shared" si="28"/>
        <v>0</v>
      </c>
      <c r="AG22" s="523">
        <f t="shared" si="29"/>
        <v>0</v>
      </c>
      <c r="AH22" s="523">
        <f t="shared" si="30"/>
        <v>0</v>
      </c>
      <c r="AI22" s="526"/>
      <c r="AJ22" s="527">
        <f>AB22*(IF(ISNA(VLOOKUP($I22,Veg_Parameters!$A$3:$N$65,5,FALSE)),0,(VLOOKUP($I22,Veg_Parameters!$A$3:$N$65,5,FALSE))))</f>
        <v>0</v>
      </c>
      <c r="AK22" s="527">
        <f>IF(ISNA(VLOOKUP($I22,Veg_Parameters!$A$3:$N$65,4,FALSE)),0,(VLOOKUP($I22,Veg_Parameters!$A$3:$N$65,4,FALSE)))</f>
        <v>0</v>
      </c>
      <c r="AL22" s="527">
        <f>AB22*(IF(ISNA(VLOOKUP($I22,Veg_Parameters!$A$3:$N$65,7,FALSE)),0, (VLOOKUP($I22,Veg_Parameters!$A$3:$N$65,7,FALSE))))</f>
        <v>0</v>
      </c>
      <c r="AM22" s="528">
        <f>IF(ISNA(VLOOKUP($I22,Veg_Parameters!$A$3:$N$65,6,FALSE)), 0, (VLOOKUP($I22,Veg_Parameters!$A$3:$N$65,6,FALSE)))</f>
        <v>0</v>
      </c>
      <c r="AN22" s="529">
        <f t="shared" si="31"/>
        <v>20</v>
      </c>
      <c r="AO22" s="529">
        <f t="shared" si="32"/>
        <v>0</v>
      </c>
      <c r="AP22" s="529">
        <f t="shared" si="33"/>
        <v>0</v>
      </c>
      <c r="AQ22" s="530">
        <f t="shared" si="34"/>
        <v>0</v>
      </c>
      <c r="AR22" s="527" t="s">
        <v>3</v>
      </c>
      <c r="AS22" s="527">
        <f>IF(ISNA(VLOOKUP($I22,Veg_Parameters!$A$3:$N$65,8,FALSE)), 0, (VLOOKUP($I22,Veg_Parameters!$A$3:$N$65,8,FALSE)))</f>
        <v>0</v>
      </c>
      <c r="AT22" s="527">
        <f>AB22*(IF(ISNA(VLOOKUP($I22,Veg_Parameters!$A$3:$N$65,9,FALSE)), 0, (VLOOKUP($I22,Veg_Parameters!$A$3:$N$65,9,FALSE))))</f>
        <v>0</v>
      </c>
      <c r="AU22" s="527">
        <f>IF(ISBLANK(A22),0,VLOOKUP($I22,Veg_Parameters!$A$4:$U$65,21,))</f>
        <v>0</v>
      </c>
      <c r="AV22" s="527">
        <f t="shared" si="35"/>
        <v>0</v>
      </c>
      <c r="AW22" s="529">
        <f t="shared" si="36"/>
        <v>0</v>
      </c>
      <c r="AX22" s="529">
        <f t="shared" si="37"/>
        <v>0</v>
      </c>
      <c r="AY22" s="529">
        <f t="shared" si="38"/>
        <v>0</v>
      </c>
      <c r="AZ22" s="529">
        <f t="shared" si="39"/>
        <v>0</v>
      </c>
      <c r="BA22" s="529">
        <f t="shared" si="40"/>
        <v>0</v>
      </c>
      <c r="BB22" s="529">
        <f t="shared" si="41"/>
        <v>0</v>
      </c>
      <c r="BC22" s="529">
        <f t="shared" si="42"/>
        <v>0</v>
      </c>
      <c r="BD22" s="531"/>
      <c r="BE22" s="527">
        <f>AH22*(IF(ISNA(VLOOKUP($N22,Veg_Parameters!$A$3:$N$65,5,FALSE)),0,(VLOOKUP($N22,Veg_Parameters!$A$3:$N$65,5,FALSE))))</f>
        <v>0</v>
      </c>
      <c r="BF22" s="527">
        <f>IF(ISNA(VLOOKUP($N22,Veg_Parameters!$A$3:$N$65,4,FALSE)),0,(VLOOKUP($N22,Veg_Parameters!$A$3:$N$65,4,FALSE)))</f>
        <v>0</v>
      </c>
      <c r="BG22" s="527">
        <f>AH22*(IF(ISNA(VLOOKUP($N22,Veg_Parameters!$A$3:$N$65,7,FALSE)),0, (VLOOKUP($N22,Veg_Parameters!$A$3:$N$65,7,FALSE))))</f>
        <v>0</v>
      </c>
      <c r="BH22" s="527">
        <f>IF(ISNA(VLOOKUP($N22,Veg_Parameters!$A$3:$N$65,6,FALSE)), 0, (VLOOKUP($N22,Veg_Parameters!$A$3:$N$65,6,FALSE)))</f>
        <v>0</v>
      </c>
      <c r="BI22" s="529">
        <f t="shared" si="43"/>
        <v>20</v>
      </c>
      <c r="BJ22" s="529">
        <f t="shared" si="44"/>
        <v>0</v>
      </c>
      <c r="BK22" s="529">
        <f t="shared" si="45"/>
        <v>0</v>
      </c>
      <c r="BL22" s="530">
        <f t="shared" si="46"/>
        <v>0</v>
      </c>
      <c r="BM22" s="527" t="s">
        <v>3</v>
      </c>
      <c r="BN22" s="527">
        <f>IF(ISNA(VLOOKUP(N22,Veg_Parameters!$A$3:$N$65,8,FALSE)), 0, (VLOOKUP($N22,Veg_Parameters!$A$3:$N$65,8,FALSE)))</f>
        <v>0</v>
      </c>
      <c r="BO22" s="527">
        <f>AH22*(IF(ISNA(VLOOKUP($N22,Veg_Parameters!$A$3:$N$65,9,FALSE)), 0, (VLOOKUP($N22,Veg_Parameters!$A$3:$N$65,9,FALSE))))</f>
        <v>0</v>
      </c>
      <c r="BP22" s="527" t="str">
        <f>IF(ISBLANK(N22),"0",VLOOKUP($N22,Veg_Parameters!$A$4:$U$65,21,))</f>
        <v>0</v>
      </c>
      <c r="BQ22" s="529">
        <f t="shared" si="47"/>
        <v>0</v>
      </c>
      <c r="BR22" s="529">
        <f t="shared" si="48"/>
        <v>0</v>
      </c>
      <c r="BS22" s="529">
        <f t="shared" si="49"/>
        <v>0</v>
      </c>
      <c r="BT22" s="529">
        <f t="shared" si="50"/>
        <v>0</v>
      </c>
      <c r="BU22" s="529">
        <f t="shared" si="51"/>
        <v>0</v>
      </c>
      <c r="BV22" s="529">
        <f t="shared" si="52"/>
        <v>0</v>
      </c>
      <c r="BW22" s="532" t="str">
        <f t="shared" si="53"/>
        <v/>
      </c>
      <c r="BX22" s="532" t="str">
        <f t="shared" si="54"/>
        <v/>
      </c>
      <c r="BY22" s="532" t="str">
        <f t="shared" si="55"/>
        <v/>
      </c>
      <c r="BZ22" s="532" t="str">
        <f t="shared" si="56"/>
        <v/>
      </c>
      <c r="CA22" s="532">
        <f t="shared" si="57"/>
        <v>0</v>
      </c>
      <c r="CB22" s="533"/>
      <c r="CC22" s="624">
        <f t="shared" si="58"/>
        <v>0</v>
      </c>
      <c r="CD22" s="534">
        <f t="shared" si="59"/>
        <v>0</v>
      </c>
      <c r="CE22" s="534">
        <f t="shared" si="60"/>
        <v>0</v>
      </c>
      <c r="CF22" s="534">
        <f t="shared" si="61"/>
        <v>0</v>
      </c>
      <c r="CG22" s="534"/>
      <c r="CH22" s="534"/>
      <c r="CI22" s="534">
        <f t="shared" si="62"/>
        <v>0</v>
      </c>
      <c r="CL22" s="534">
        <f>IF(ISNA(VLOOKUP(I22,Veg_Parameters!$A$3:$N$65,13,FALSE)),0,(VLOOKUP(I22,Veg_Parameters!$A$3:$N$65,13,FALSE)))</f>
        <v>0</v>
      </c>
      <c r="CM22" s="534">
        <f t="shared" si="63"/>
        <v>0</v>
      </c>
      <c r="CN22" s="534">
        <f>IF(ISNA(VLOOKUP(N22,Veg_Parameters!$A$3:$N$65,13,FALSE)),0,(VLOOKUP(N22,Veg_Parameters!$A$3:$N$65,13,FALSE)))</f>
        <v>0</v>
      </c>
      <c r="CO22" s="523">
        <f t="shared" si="64"/>
        <v>0</v>
      </c>
    </row>
    <row r="23" spans="1:93" x14ac:dyDescent="0.2">
      <c r="A23" s="227"/>
      <c r="B23" s="171" t="str">
        <f t="shared" si="65"/>
        <v/>
      </c>
      <c r="C23" s="230"/>
      <c r="D23" s="169"/>
      <c r="E23" s="165"/>
      <c r="F23" s="165"/>
      <c r="G23" s="165"/>
      <c r="H23" s="165"/>
      <c r="I23" s="168"/>
      <c r="J23" s="167"/>
      <c r="K23" s="168"/>
      <c r="L23" s="167"/>
      <c r="M23" s="167"/>
      <c r="N23" s="168"/>
      <c r="O23" s="168"/>
      <c r="P23" s="167"/>
      <c r="Q23" s="167"/>
      <c r="R23" s="167"/>
      <c r="S23" s="222" t="str">
        <f>IF(ISBLANK(A23),"",IF(ISNA(VLOOKUP(I23,Veg_Parameters!$A$3:$N$65,3,FALSE)),0,(VLOOKUP(I23,Veg_Parameters!$A$3:$N$65,3,FALSE))))</f>
        <v/>
      </c>
      <c r="T23" s="222" t="str">
        <f>IF(ISBLANK(N23),"",IF(ISNA(VLOOKUP(N23,Veg_Parameters!$A$3:$N$65,3,FALSE)),0,(VLOOKUP(N23,Veg_Parameters!$A$3:$N$65,3,FALSE))))</f>
        <v/>
      </c>
      <c r="U23" s="523">
        <f t="shared" si="24"/>
        <v>0</v>
      </c>
      <c r="V23" s="523">
        <f t="shared" si="25"/>
        <v>0</v>
      </c>
      <c r="W23" s="524">
        <f>IF(ISBLANK(A23),0,IF(ISNA(VLOOKUP($I23,Veg_Parameters!$A$3:$N$65,10,FALSE)),0,(VLOOKUP($I23,Veg_Parameters!$A$3:$N$65,10,FALSE))))</f>
        <v>0</v>
      </c>
      <c r="X23" s="524">
        <f>IF(ISBLANK(A23),0,IF(ISNA(VLOOKUP($I23,Veg_Parameters!$A$3:$N$65,11,FALSE)),0,(VLOOKUP($I23,Veg_Parameters!$A$3:$N$65,11,FALSE))))</f>
        <v>0</v>
      </c>
      <c r="Y23" s="524">
        <f>IF(ISBLANK(A23),0,IF(ISNA(VLOOKUP($I23,Veg_Parameters!$A$3:$N$65,12,FALSE)),0,(VLOOKUP($I23,Veg_Parameters!$A$3:$N$65,12,FALSE))))</f>
        <v>0</v>
      </c>
      <c r="Z23" s="525">
        <f t="shared" si="1"/>
        <v>0</v>
      </c>
      <c r="AA23" s="525">
        <f t="shared" si="26"/>
        <v>0</v>
      </c>
      <c r="AB23" s="525">
        <f t="shared" si="27"/>
        <v>0</v>
      </c>
      <c r="AC23" s="524">
        <f>IF(ISBLANK(N23),0,IF(ISNA(VLOOKUP($N23,Veg_Parameters!$A$3:$N$65,10,FALSE)),0,(VLOOKUP($N23,Veg_Parameters!$A$3:$N$65,10,FALSE))))</f>
        <v>0</v>
      </c>
      <c r="AD23" s="524">
        <f>IF(ISBLANK(N23),0,IF(ISNA(VLOOKUP($N23,Veg_Parameters!$A$3:$N$65,11,FALSE)),0,(VLOOKUP($N23,Veg_Parameters!$A$3:$N$65,11,FALSE))))</f>
        <v>0</v>
      </c>
      <c r="AE23" s="524">
        <f>IF(ISBLANK(N23), 0, IF(ISNA(VLOOKUP($N23,Veg_Parameters!$A$3:$N$65,12,FALSE)),0,(VLOOKUP($N23,Veg_Parameters!$A$3:$N$65,12,FALSE))))</f>
        <v>0</v>
      </c>
      <c r="AF23" s="523">
        <f t="shared" si="28"/>
        <v>0</v>
      </c>
      <c r="AG23" s="523">
        <f t="shared" si="29"/>
        <v>0</v>
      </c>
      <c r="AH23" s="523">
        <f t="shared" si="30"/>
        <v>0</v>
      </c>
      <c r="AI23" s="526"/>
      <c r="AJ23" s="527">
        <f>AB23*(IF(ISNA(VLOOKUP($I23,Veg_Parameters!$A$3:$N$65,5,FALSE)),0,(VLOOKUP($I23,Veg_Parameters!$A$3:$N$65,5,FALSE))))</f>
        <v>0</v>
      </c>
      <c r="AK23" s="527">
        <f>IF(ISNA(VLOOKUP($I23,Veg_Parameters!$A$3:$N$65,4,FALSE)),0,(VLOOKUP($I23,Veg_Parameters!$A$3:$N$65,4,FALSE)))</f>
        <v>0</v>
      </c>
      <c r="AL23" s="527">
        <f>AB23*(IF(ISNA(VLOOKUP($I23,Veg_Parameters!$A$3:$N$65,7,FALSE)),0, (VLOOKUP($I23,Veg_Parameters!$A$3:$N$65,7,FALSE))))</f>
        <v>0</v>
      </c>
      <c r="AM23" s="528">
        <f>IF(ISNA(VLOOKUP($I23,Veg_Parameters!$A$3:$N$65,6,FALSE)), 0, (VLOOKUP($I23,Veg_Parameters!$A$3:$N$65,6,FALSE)))</f>
        <v>0</v>
      </c>
      <c r="AN23" s="529">
        <f t="shared" si="31"/>
        <v>20</v>
      </c>
      <c r="AO23" s="529">
        <f t="shared" si="32"/>
        <v>0</v>
      </c>
      <c r="AP23" s="529">
        <f t="shared" si="33"/>
        <v>0</v>
      </c>
      <c r="AQ23" s="530">
        <f t="shared" si="34"/>
        <v>0</v>
      </c>
      <c r="AR23" s="527" t="s">
        <v>3</v>
      </c>
      <c r="AS23" s="527">
        <f>IF(ISNA(VLOOKUP($I23,Veg_Parameters!$A$3:$N$65,8,FALSE)), 0, (VLOOKUP($I23,Veg_Parameters!$A$3:$N$65,8,FALSE)))</f>
        <v>0</v>
      </c>
      <c r="AT23" s="527">
        <f>AB23*(IF(ISNA(VLOOKUP($I23,Veg_Parameters!$A$3:$N$65,9,FALSE)), 0, (VLOOKUP($I23,Veg_Parameters!$A$3:$N$65,9,FALSE))))</f>
        <v>0</v>
      </c>
      <c r="AU23" s="527">
        <f>IF(ISBLANK(A23),0,VLOOKUP($I23,Veg_Parameters!$A$4:$U$65,21,))</f>
        <v>0</v>
      </c>
      <c r="AV23" s="527">
        <f t="shared" si="35"/>
        <v>0</v>
      </c>
      <c r="AW23" s="529">
        <f t="shared" si="36"/>
        <v>0</v>
      </c>
      <c r="AX23" s="529">
        <f t="shared" si="37"/>
        <v>0</v>
      </c>
      <c r="AY23" s="529">
        <f t="shared" si="38"/>
        <v>0</v>
      </c>
      <c r="AZ23" s="529">
        <f t="shared" si="39"/>
        <v>0</v>
      </c>
      <c r="BA23" s="529">
        <f t="shared" si="40"/>
        <v>0</v>
      </c>
      <c r="BB23" s="529">
        <f t="shared" si="41"/>
        <v>0</v>
      </c>
      <c r="BC23" s="529">
        <f t="shared" si="42"/>
        <v>0</v>
      </c>
      <c r="BD23" s="531"/>
      <c r="BE23" s="527">
        <f>AH23*(IF(ISNA(VLOOKUP($N23,Veg_Parameters!$A$3:$N$65,5,FALSE)),0,(VLOOKUP($N23,Veg_Parameters!$A$3:$N$65,5,FALSE))))</f>
        <v>0</v>
      </c>
      <c r="BF23" s="527">
        <f>IF(ISNA(VLOOKUP($N23,Veg_Parameters!$A$3:$N$65,4,FALSE)),0,(VLOOKUP($N23,Veg_Parameters!$A$3:$N$65,4,FALSE)))</f>
        <v>0</v>
      </c>
      <c r="BG23" s="527">
        <f>AH23*(IF(ISNA(VLOOKUP($N23,Veg_Parameters!$A$3:$N$65,7,FALSE)),0, (VLOOKUP($N23,Veg_Parameters!$A$3:$N$65,7,FALSE))))</f>
        <v>0</v>
      </c>
      <c r="BH23" s="527">
        <f>IF(ISNA(VLOOKUP($N23,Veg_Parameters!$A$3:$N$65,6,FALSE)), 0, (VLOOKUP($N23,Veg_Parameters!$A$3:$N$65,6,FALSE)))</f>
        <v>0</v>
      </c>
      <c r="BI23" s="529">
        <f t="shared" si="43"/>
        <v>20</v>
      </c>
      <c r="BJ23" s="529">
        <f t="shared" si="44"/>
        <v>0</v>
      </c>
      <c r="BK23" s="529">
        <f t="shared" si="45"/>
        <v>0</v>
      </c>
      <c r="BL23" s="530">
        <f t="shared" si="46"/>
        <v>0</v>
      </c>
      <c r="BM23" s="527" t="s">
        <v>3</v>
      </c>
      <c r="BN23" s="527">
        <f>IF(ISNA(VLOOKUP(N23,Veg_Parameters!$A$3:$N$65,8,FALSE)), 0, (VLOOKUP($N23,Veg_Parameters!$A$3:$N$65,8,FALSE)))</f>
        <v>0</v>
      </c>
      <c r="BO23" s="527">
        <f>AH23*(IF(ISNA(VLOOKUP($N23,Veg_Parameters!$A$3:$N$65,9,FALSE)), 0, (VLOOKUP($N23,Veg_Parameters!$A$3:$N$65,9,FALSE))))</f>
        <v>0</v>
      </c>
      <c r="BP23" s="527" t="str">
        <f>IF(ISBLANK(N23),"0",VLOOKUP($N23,Veg_Parameters!$A$4:$U$65,21,))</f>
        <v>0</v>
      </c>
      <c r="BQ23" s="529">
        <f t="shared" si="47"/>
        <v>0</v>
      </c>
      <c r="BR23" s="529">
        <f t="shared" si="48"/>
        <v>0</v>
      </c>
      <c r="BS23" s="529">
        <f t="shared" si="49"/>
        <v>0</v>
      </c>
      <c r="BT23" s="529">
        <f t="shared" si="50"/>
        <v>0</v>
      </c>
      <c r="BU23" s="529">
        <f t="shared" si="51"/>
        <v>0</v>
      </c>
      <c r="BV23" s="529">
        <f t="shared" si="52"/>
        <v>0</v>
      </c>
      <c r="BW23" s="532" t="str">
        <f t="shared" si="53"/>
        <v/>
      </c>
      <c r="BX23" s="532" t="str">
        <f t="shared" si="54"/>
        <v/>
      </c>
      <c r="BY23" s="532" t="str">
        <f t="shared" si="55"/>
        <v/>
      </c>
      <c r="BZ23" s="532" t="str">
        <f t="shared" si="56"/>
        <v/>
      </c>
      <c r="CA23" s="532">
        <f t="shared" si="57"/>
        <v>0</v>
      </c>
      <c r="CB23" s="533"/>
      <c r="CC23" s="624">
        <f t="shared" si="58"/>
        <v>0</v>
      </c>
      <c r="CD23" s="534">
        <f t="shared" si="59"/>
        <v>0</v>
      </c>
      <c r="CE23" s="534">
        <f t="shared" si="60"/>
        <v>0</v>
      </c>
      <c r="CF23" s="534">
        <f t="shared" si="61"/>
        <v>0</v>
      </c>
      <c r="CG23" s="534"/>
      <c r="CH23" s="534"/>
      <c r="CI23" s="534">
        <f t="shared" si="62"/>
        <v>0</v>
      </c>
      <c r="CL23" s="534">
        <f>IF(ISNA(VLOOKUP(I23,Veg_Parameters!$A$3:$N$65,13,FALSE)),0,(VLOOKUP(I23,Veg_Parameters!$A$3:$N$65,13,FALSE)))</f>
        <v>0</v>
      </c>
      <c r="CM23" s="534">
        <f t="shared" si="63"/>
        <v>0</v>
      </c>
      <c r="CN23" s="534">
        <f>IF(ISNA(VLOOKUP(N23,Veg_Parameters!$A$3:$N$65,13,FALSE)),0,(VLOOKUP(N23,Veg_Parameters!$A$3:$N$65,13,FALSE)))</f>
        <v>0</v>
      </c>
      <c r="CO23" s="523">
        <f t="shared" si="64"/>
        <v>0</v>
      </c>
    </row>
    <row r="24" spans="1:93" x14ac:dyDescent="0.2">
      <c r="A24" s="227"/>
      <c r="B24" s="171" t="str">
        <f t="shared" si="65"/>
        <v/>
      </c>
      <c r="C24" s="292" t="s">
        <v>27</v>
      </c>
      <c r="D24" s="234"/>
      <c r="E24" s="165"/>
      <c r="F24" s="165"/>
      <c r="G24" s="165"/>
      <c r="H24" s="165"/>
      <c r="I24" s="168"/>
      <c r="J24" s="167"/>
      <c r="K24" s="168"/>
      <c r="L24" s="167"/>
      <c r="M24" s="167"/>
      <c r="N24" s="168"/>
      <c r="O24" s="168"/>
      <c r="P24" s="167"/>
      <c r="Q24" s="167"/>
      <c r="R24" s="167"/>
      <c r="S24" s="222" t="str">
        <f>IF(ISBLANK(A24),"",IF(ISNA(VLOOKUP(I24,Veg_Parameters!$A$3:$N$65,3,FALSE)),0,(VLOOKUP(I24,Veg_Parameters!$A$3:$N$65,3,FALSE))))</f>
        <v/>
      </c>
      <c r="T24" s="222" t="str">
        <f>IF(ISBLANK(N24),"",IF(ISNA(VLOOKUP(N24,Veg_Parameters!$A$3:$N$65,3,FALSE)),0,(VLOOKUP(N24,Veg_Parameters!$A$3:$N$65,3,FALSE))))</f>
        <v/>
      </c>
      <c r="U24" s="523">
        <f t="shared" si="24"/>
        <v>0</v>
      </c>
      <c r="V24" s="523">
        <f t="shared" si="25"/>
        <v>0</v>
      </c>
      <c r="W24" s="524">
        <f>IF(ISBLANK(A24),0,IF(ISNA(VLOOKUP($I24,Veg_Parameters!$A$3:$N$65,10,FALSE)),0,(VLOOKUP($I24,Veg_Parameters!$A$3:$N$65,10,FALSE))))</f>
        <v>0</v>
      </c>
      <c r="X24" s="524">
        <f>IF(ISBLANK(A24),0,IF(ISNA(VLOOKUP($I24,Veg_Parameters!$A$3:$N$65,11,FALSE)),0,(VLOOKUP($I24,Veg_Parameters!$A$3:$N$65,11,FALSE))))</f>
        <v>0</v>
      </c>
      <c r="Y24" s="524">
        <f>IF(ISBLANK(A24),0,IF(ISNA(VLOOKUP($I24,Veg_Parameters!$A$3:$N$65,12,FALSE)),0,(VLOOKUP($I24,Veg_Parameters!$A$3:$N$65,12,FALSE))))</f>
        <v>0</v>
      </c>
      <c r="Z24" s="525">
        <f t="shared" si="1"/>
        <v>0</v>
      </c>
      <c r="AA24" s="525">
        <f t="shared" si="26"/>
        <v>0</v>
      </c>
      <c r="AB24" s="525">
        <f t="shared" si="27"/>
        <v>0</v>
      </c>
      <c r="AC24" s="524">
        <f>IF(ISBLANK(N24),0,IF(ISNA(VLOOKUP($N24,Veg_Parameters!$A$3:$N$65,10,FALSE)),0,(VLOOKUP($N24,Veg_Parameters!$A$3:$N$65,10,FALSE))))</f>
        <v>0</v>
      </c>
      <c r="AD24" s="524">
        <f>IF(ISBLANK(N24),0,IF(ISNA(VLOOKUP($N24,Veg_Parameters!$A$3:$N$65,11,FALSE)),0,(VLOOKUP($N24,Veg_Parameters!$A$3:$N$65,11,FALSE))))</f>
        <v>0</v>
      </c>
      <c r="AE24" s="524">
        <f>IF(ISBLANK(N24), 0, IF(ISNA(VLOOKUP($N24,Veg_Parameters!$A$3:$N$65,12,FALSE)),0,(VLOOKUP($N24,Veg_Parameters!$A$3:$N$65,12,FALSE))))</f>
        <v>0</v>
      </c>
      <c r="AF24" s="523">
        <f t="shared" si="28"/>
        <v>0</v>
      </c>
      <c r="AG24" s="523">
        <f t="shared" si="29"/>
        <v>0</v>
      </c>
      <c r="AH24" s="523">
        <f t="shared" si="30"/>
        <v>0</v>
      </c>
      <c r="AI24" s="526"/>
      <c r="AJ24" s="527">
        <f>AB24*(IF(ISNA(VLOOKUP($I24,Veg_Parameters!$A$3:$N$65,5,FALSE)),0,(VLOOKUP($I24,Veg_Parameters!$A$3:$N$65,5,FALSE))))</f>
        <v>0</v>
      </c>
      <c r="AK24" s="527">
        <f>IF(ISNA(VLOOKUP($I24,Veg_Parameters!$A$3:$N$65,4,FALSE)),0,(VLOOKUP($I24,Veg_Parameters!$A$3:$N$65,4,FALSE)))</f>
        <v>0</v>
      </c>
      <c r="AL24" s="527">
        <f>AB24*(IF(ISNA(VLOOKUP($I24,Veg_Parameters!$A$3:$N$65,7,FALSE)),0, (VLOOKUP($I24,Veg_Parameters!$A$3:$N$65,7,FALSE))))</f>
        <v>0</v>
      </c>
      <c r="AM24" s="528">
        <f>IF(ISNA(VLOOKUP($I24,Veg_Parameters!$A$3:$N$65,6,FALSE)), 0, (VLOOKUP($I24,Veg_Parameters!$A$3:$N$65,6,FALSE)))</f>
        <v>0</v>
      </c>
      <c r="AN24" s="529">
        <f t="shared" si="31"/>
        <v>20</v>
      </c>
      <c r="AO24" s="529">
        <f t="shared" si="32"/>
        <v>0</v>
      </c>
      <c r="AP24" s="529">
        <f t="shared" si="33"/>
        <v>0</v>
      </c>
      <c r="AQ24" s="530">
        <f t="shared" si="34"/>
        <v>0</v>
      </c>
      <c r="AR24" s="527" t="s">
        <v>3</v>
      </c>
      <c r="AS24" s="527">
        <f>IF(ISNA(VLOOKUP($I24,Veg_Parameters!$A$3:$N$65,8,FALSE)), 0, (VLOOKUP($I24,Veg_Parameters!$A$3:$N$65,8,FALSE)))</f>
        <v>0</v>
      </c>
      <c r="AT24" s="527">
        <f>AB24*(IF(ISNA(VLOOKUP($I24,Veg_Parameters!$A$3:$N$65,9,FALSE)), 0, (VLOOKUP($I24,Veg_Parameters!$A$3:$N$65,9,FALSE))))</f>
        <v>0</v>
      </c>
      <c r="AU24" s="527">
        <f>IF(ISBLANK(A24),0,VLOOKUP($I24,Veg_Parameters!$A$4:$U$65,21,))</f>
        <v>0</v>
      </c>
      <c r="AV24" s="527">
        <f t="shared" si="35"/>
        <v>0</v>
      </c>
      <c r="AW24" s="529">
        <f t="shared" si="36"/>
        <v>0</v>
      </c>
      <c r="AX24" s="529">
        <f t="shared" si="37"/>
        <v>0</v>
      </c>
      <c r="AY24" s="529">
        <f t="shared" si="38"/>
        <v>0</v>
      </c>
      <c r="AZ24" s="529">
        <f t="shared" si="39"/>
        <v>0</v>
      </c>
      <c r="BA24" s="529">
        <f t="shared" si="40"/>
        <v>0</v>
      </c>
      <c r="BB24" s="529">
        <f t="shared" si="41"/>
        <v>0</v>
      </c>
      <c r="BC24" s="529">
        <f t="shared" si="42"/>
        <v>0</v>
      </c>
      <c r="BD24" s="531"/>
      <c r="BE24" s="527">
        <f>AH24*(IF(ISNA(VLOOKUP($N24,Veg_Parameters!$A$3:$N$65,5,FALSE)),0,(VLOOKUP($N24,Veg_Parameters!$A$3:$N$65,5,FALSE))))</f>
        <v>0</v>
      </c>
      <c r="BF24" s="527">
        <f>IF(ISNA(VLOOKUP($N24,Veg_Parameters!$A$3:$N$65,4,FALSE)),0,(VLOOKUP($N24,Veg_Parameters!$A$3:$N$65,4,FALSE)))</f>
        <v>0</v>
      </c>
      <c r="BG24" s="527">
        <f>AH24*(IF(ISNA(VLOOKUP($N24,Veg_Parameters!$A$3:$N$65,7,FALSE)),0, (VLOOKUP($N24,Veg_Parameters!$A$3:$N$65,7,FALSE))))</f>
        <v>0</v>
      </c>
      <c r="BH24" s="527">
        <f>IF(ISNA(VLOOKUP($N24,Veg_Parameters!$A$3:$N$65,6,FALSE)), 0, (VLOOKUP($N24,Veg_Parameters!$A$3:$N$65,6,FALSE)))</f>
        <v>0</v>
      </c>
      <c r="BI24" s="529">
        <f t="shared" si="43"/>
        <v>20</v>
      </c>
      <c r="BJ24" s="529">
        <f t="shared" si="44"/>
        <v>0</v>
      </c>
      <c r="BK24" s="529">
        <f t="shared" si="45"/>
        <v>0</v>
      </c>
      <c r="BL24" s="530">
        <f t="shared" si="46"/>
        <v>0</v>
      </c>
      <c r="BM24" s="527" t="s">
        <v>3</v>
      </c>
      <c r="BN24" s="527">
        <f>IF(ISNA(VLOOKUP(N24,Veg_Parameters!$A$3:$N$65,8,FALSE)), 0, (VLOOKUP($N24,Veg_Parameters!$A$3:$N$65,8,FALSE)))</f>
        <v>0</v>
      </c>
      <c r="BO24" s="527">
        <f>AH24*(IF(ISNA(VLOOKUP($N24,Veg_Parameters!$A$3:$N$65,9,FALSE)), 0, (VLOOKUP($N24,Veg_Parameters!$A$3:$N$65,9,FALSE))))</f>
        <v>0</v>
      </c>
      <c r="BP24" s="527" t="str">
        <f>IF(ISBLANK(N24),"0",VLOOKUP($N24,Veg_Parameters!$A$4:$U$65,21,))</f>
        <v>0</v>
      </c>
      <c r="BQ24" s="529">
        <f t="shared" si="47"/>
        <v>0</v>
      </c>
      <c r="BR24" s="529">
        <f t="shared" si="48"/>
        <v>0</v>
      </c>
      <c r="BS24" s="529">
        <f t="shared" si="49"/>
        <v>0</v>
      </c>
      <c r="BT24" s="529">
        <f t="shared" si="50"/>
        <v>0</v>
      </c>
      <c r="BU24" s="529">
        <f t="shared" si="51"/>
        <v>0</v>
      </c>
      <c r="BV24" s="529">
        <f t="shared" si="52"/>
        <v>0</v>
      </c>
      <c r="BW24" s="532" t="str">
        <f t="shared" si="53"/>
        <v/>
      </c>
      <c r="BX24" s="532" t="str">
        <f t="shared" si="54"/>
        <v/>
      </c>
      <c r="BY24" s="532" t="str">
        <f t="shared" si="55"/>
        <v/>
      </c>
      <c r="BZ24" s="532" t="str">
        <f t="shared" si="56"/>
        <v/>
      </c>
      <c r="CA24" s="532">
        <f t="shared" si="57"/>
        <v>0</v>
      </c>
      <c r="CB24" s="533"/>
      <c r="CC24" s="624">
        <f t="shared" si="58"/>
        <v>0</v>
      </c>
      <c r="CD24" s="534">
        <f t="shared" si="59"/>
        <v>0</v>
      </c>
      <c r="CE24" s="534">
        <f t="shared" si="60"/>
        <v>0</v>
      </c>
      <c r="CF24" s="534">
        <f t="shared" si="61"/>
        <v>0</v>
      </c>
      <c r="CG24" s="534"/>
      <c r="CH24" s="534"/>
      <c r="CI24" s="534">
        <f t="shared" si="62"/>
        <v>0</v>
      </c>
      <c r="CL24" s="534">
        <f>IF(ISNA(VLOOKUP(I24,Veg_Parameters!$A$3:$N$65,13,FALSE)),0,(VLOOKUP(I24,Veg_Parameters!$A$3:$N$65,13,FALSE)))</f>
        <v>0</v>
      </c>
      <c r="CM24" s="534">
        <f t="shared" si="63"/>
        <v>0</v>
      </c>
      <c r="CN24" s="534">
        <f>IF(ISNA(VLOOKUP(N24,Veg_Parameters!$A$3:$N$65,13,FALSE)),0,(VLOOKUP(N24,Veg_Parameters!$A$3:$N$65,13,FALSE)))</f>
        <v>0</v>
      </c>
      <c r="CO24" s="523">
        <f t="shared" si="64"/>
        <v>0</v>
      </c>
    </row>
    <row r="25" spans="1:93" x14ac:dyDescent="0.2">
      <c r="A25" s="227"/>
      <c r="B25" s="171" t="str">
        <f t="shared" si="65"/>
        <v/>
      </c>
      <c r="C25" s="230"/>
      <c r="D25" s="169"/>
      <c r="E25" s="165"/>
      <c r="F25" s="165"/>
      <c r="G25" s="165"/>
      <c r="H25" s="165"/>
      <c r="I25" s="168"/>
      <c r="J25" s="167"/>
      <c r="K25" s="168"/>
      <c r="L25" s="167"/>
      <c r="M25" s="167"/>
      <c r="N25" s="168"/>
      <c r="O25" s="168"/>
      <c r="P25" s="167"/>
      <c r="Q25" s="167"/>
      <c r="R25" s="167"/>
      <c r="S25" s="222" t="str">
        <f>IF(ISBLANK(A25),"",IF(ISNA(VLOOKUP(I25,Veg_Parameters!$A$3:$N$65,3,FALSE)),0,(VLOOKUP(I25,Veg_Parameters!$A$3:$N$65,3,FALSE))))</f>
        <v/>
      </c>
      <c r="T25" s="222" t="str">
        <f>IF(ISBLANK(N25),"",IF(ISNA(VLOOKUP(N25,Veg_Parameters!$A$3:$N$65,3,FALSE)),0,(VLOOKUP(N25,Veg_Parameters!$A$3:$N$65,3,FALSE))))</f>
        <v/>
      </c>
      <c r="U25" s="523">
        <f t="shared" si="24"/>
        <v>0</v>
      </c>
      <c r="V25" s="523">
        <f t="shared" si="25"/>
        <v>0</v>
      </c>
      <c r="W25" s="524">
        <f>IF(ISBLANK(A25),0,IF(ISNA(VLOOKUP($I25,Veg_Parameters!$A$3:$N$65,10,FALSE)),0,(VLOOKUP($I25,Veg_Parameters!$A$3:$N$65,10,FALSE))))</f>
        <v>0</v>
      </c>
      <c r="X25" s="524">
        <f>IF(ISBLANK(A25),0,IF(ISNA(VLOOKUP($I25,Veg_Parameters!$A$3:$N$65,11,FALSE)),0,(VLOOKUP($I25,Veg_Parameters!$A$3:$N$65,11,FALSE))))</f>
        <v>0</v>
      </c>
      <c r="Y25" s="524">
        <f>IF(ISBLANK(A25),0,IF(ISNA(VLOOKUP($I25,Veg_Parameters!$A$3:$N$65,12,FALSE)),0,(VLOOKUP($I25,Veg_Parameters!$A$3:$N$65,12,FALSE))))</f>
        <v>0</v>
      </c>
      <c r="Z25" s="525">
        <f t="shared" si="1"/>
        <v>0</v>
      </c>
      <c r="AA25" s="525">
        <f t="shared" si="26"/>
        <v>0</v>
      </c>
      <c r="AB25" s="525">
        <f t="shared" si="27"/>
        <v>0</v>
      </c>
      <c r="AC25" s="524">
        <f>IF(ISBLANK(N25),0,IF(ISNA(VLOOKUP($N25,Veg_Parameters!$A$3:$N$65,10,FALSE)),0,(VLOOKUP($N25,Veg_Parameters!$A$3:$N$65,10,FALSE))))</f>
        <v>0</v>
      </c>
      <c r="AD25" s="524">
        <f>IF(ISBLANK(N25),0,IF(ISNA(VLOOKUP($N25,Veg_Parameters!$A$3:$N$65,11,FALSE)),0,(VLOOKUP($N25,Veg_Parameters!$A$3:$N$65,11,FALSE))))</f>
        <v>0</v>
      </c>
      <c r="AE25" s="524">
        <f>IF(ISBLANK(N25), 0, IF(ISNA(VLOOKUP($N25,Veg_Parameters!$A$3:$N$65,12,FALSE)),0,(VLOOKUP($N25,Veg_Parameters!$A$3:$N$65,12,FALSE))))</f>
        <v>0</v>
      </c>
      <c r="AF25" s="523">
        <f t="shared" si="28"/>
        <v>0</v>
      </c>
      <c r="AG25" s="523">
        <f t="shared" si="29"/>
        <v>0</v>
      </c>
      <c r="AH25" s="523">
        <f t="shared" si="30"/>
        <v>0</v>
      </c>
      <c r="AI25" s="526"/>
      <c r="AJ25" s="527">
        <f>AB25*(IF(ISNA(VLOOKUP($I25,Veg_Parameters!$A$3:$N$65,5,FALSE)),0,(VLOOKUP($I25,Veg_Parameters!$A$3:$N$65,5,FALSE))))</f>
        <v>0</v>
      </c>
      <c r="AK25" s="527">
        <f>IF(ISNA(VLOOKUP($I25,Veg_Parameters!$A$3:$N$65,4,FALSE)),0,(VLOOKUP($I25,Veg_Parameters!$A$3:$N$65,4,FALSE)))</f>
        <v>0</v>
      </c>
      <c r="AL25" s="527">
        <f>AB25*(IF(ISNA(VLOOKUP($I25,Veg_Parameters!$A$3:$N$65,7,FALSE)),0, (VLOOKUP($I25,Veg_Parameters!$A$3:$N$65,7,FALSE))))</f>
        <v>0</v>
      </c>
      <c r="AM25" s="528">
        <f>IF(ISNA(VLOOKUP($I25,Veg_Parameters!$A$3:$N$65,6,FALSE)), 0, (VLOOKUP($I25,Veg_Parameters!$A$3:$N$65,6,FALSE)))</f>
        <v>0</v>
      </c>
      <c r="AN25" s="529">
        <f t="shared" si="31"/>
        <v>20</v>
      </c>
      <c r="AO25" s="529">
        <f t="shared" si="32"/>
        <v>0</v>
      </c>
      <c r="AP25" s="529">
        <f t="shared" si="33"/>
        <v>0</v>
      </c>
      <c r="AQ25" s="530">
        <f t="shared" si="34"/>
        <v>0</v>
      </c>
      <c r="AR25" s="527" t="s">
        <v>3</v>
      </c>
      <c r="AS25" s="527">
        <f>IF(ISNA(VLOOKUP($I25,Veg_Parameters!$A$3:$N$65,8,FALSE)), 0, (VLOOKUP($I25,Veg_Parameters!$A$3:$N$65,8,FALSE)))</f>
        <v>0</v>
      </c>
      <c r="AT25" s="527">
        <f>AB25*(IF(ISNA(VLOOKUP($I25,Veg_Parameters!$A$3:$N$65,9,FALSE)), 0, (VLOOKUP($I25,Veg_Parameters!$A$3:$N$65,9,FALSE))))</f>
        <v>0</v>
      </c>
      <c r="AU25" s="527">
        <f>IF(ISBLANK(A25),0,VLOOKUP($I25,Veg_Parameters!$A$4:$U$65,21,))</f>
        <v>0</v>
      </c>
      <c r="AV25" s="527">
        <f t="shared" si="35"/>
        <v>0</v>
      </c>
      <c r="AW25" s="529">
        <f t="shared" si="36"/>
        <v>0</v>
      </c>
      <c r="AX25" s="529">
        <f t="shared" si="37"/>
        <v>0</v>
      </c>
      <c r="AY25" s="529">
        <f t="shared" si="38"/>
        <v>0</v>
      </c>
      <c r="AZ25" s="529">
        <f t="shared" si="39"/>
        <v>0</v>
      </c>
      <c r="BA25" s="529">
        <f t="shared" si="40"/>
        <v>0</v>
      </c>
      <c r="BB25" s="529">
        <f t="shared" si="41"/>
        <v>0</v>
      </c>
      <c r="BC25" s="529">
        <f t="shared" si="42"/>
        <v>0</v>
      </c>
      <c r="BD25" s="531"/>
      <c r="BE25" s="527">
        <f>AH25*(IF(ISNA(VLOOKUP($N25,Veg_Parameters!$A$3:$N$65,5,FALSE)),0,(VLOOKUP($N25,Veg_Parameters!$A$3:$N$65,5,FALSE))))</f>
        <v>0</v>
      </c>
      <c r="BF25" s="527">
        <f>IF(ISNA(VLOOKUP($N25,Veg_Parameters!$A$3:$N$65,4,FALSE)),0,(VLOOKUP($N25,Veg_Parameters!$A$3:$N$65,4,FALSE)))</f>
        <v>0</v>
      </c>
      <c r="BG25" s="527">
        <f>AH25*(IF(ISNA(VLOOKUP($N25,Veg_Parameters!$A$3:$N$65,7,FALSE)),0, (VLOOKUP($N25,Veg_Parameters!$A$3:$N$65,7,FALSE))))</f>
        <v>0</v>
      </c>
      <c r="BH25" s="527">
        <f>IF(ISNA(VLOOKUP($N25,Veg_Parameters!$A$3:$N$65,6,FALSE)), 0, (VLOOKUP($N25,Veg_Parameters!$A$3:$N$65,6,FALSE)))</f>
        <v>0</v>
      </c>
      <c r="BI25" s="529">
        <f t="shared" si="43"/>
        <v>20</v>
      </c>
      <c r="BJ25" s="529">
        <f t="shared" si="44"/>
        <v>0</v>
      </c>
      <c r="BK25" s="529">
        <f t="shared" si="45"/>
        <v>0</v>
      </c>
      <c r="BL25" s="530">
        <f t="shared" si="46"/>
        <v>0</v>
      </c>
      <c r="BM25" s="527" t="s">
        <v>3</v>
      </c>
      <c r="BN25" s="527">
        <f>IF(ISNA(VLOOKUP(N25,Veg_Parameters!$A$3:$N$65,8,FALSE)), 0, (VLOOKUP($N25,Veg_Parameters!$A$3:$N$65,8,FALSE)))</f>
        <v>0</v>
      </c>
      <c r="BO25" s="527">
        <f>AH25*(IF(ISNA(VLOOKUP($N25,Veg_Parameters!$A$3:$N$65,9,FALSE)), 0, (VLOOKUP($N25,Veg_Parameters!$A$3:$N$65,9,FALSE))))</f>
        <v>0</v>
      </c>
      <c r="BP25" s="527" t="str">
        <f>IF(ISBLANK(N25),"0",VLOOKUP($N25,Veg_Parameters!$A$4:$U$65,21,))</f>
        <v>0</v>
      </c>
      <c r="BQ25" s="529">
        <f t="shared" si="47"/>
        <v>0</v>
      </c>
      <c r="BR25" s="529">
        <f t="shared" si="48"/>
        <v>0</v>
      </c>
      <c r="BS25" s="529">
        <f t="shared" si="49"/>
        <v>0</v>
      </c>
      <c r="BT25" s="529">
        <f t="shared" si="50"/>
        <v>0</v>
      </c>
      <c r="BU25" s="529">
        <f t="shared" si="51"/>
        <v>0</v>
      </c>
      <c r="BV25" s="529">
        <f t="shared" si="52"/>
        <v>0</v>
      </c>
      <c r="BW25" s="532" t="str">
        <f t="shared" si="53"/>
        <v/>
      </c>
      <c r="BX25" s="532" t="str">
        <f t="shared" si="54"/>
        <v/>
      </c>
      <c r="BY25" s="532" t="str">
        <f t="shared" si="55"/>
        <v/>
      </c>
      <c r="BZ25" s="532" t="str">
        <f t="shared" si="56"/>
        <v/>
      </c>
      <c r="CA25" s="532">
        <f t="shared" si="57"/>
        <v>0</v>
      </c>
      <c r="CB25" s="533"/>
      <c r="CC25" s="624">
        <f t="shared" si="58"/>
        <v>0</v>
      </c>
      <c r="CD25" s="534">
        <f t="shared" si="59"/>
        <v>0</v>
      </c>
      <c r="CE25" s="534">
        <f t="shared" si="60"/>
        <v>0</v>
      </c>
      <c r="CF25" s="534">
        <f t="shared" si="61"/>
        <v>0</v>
      </c>
      <c r="CG25" s="534"/>
      <c r="CH25" s="534"/>
      <c r="CI25" s="534">
        <f t="shared" si="62"/>
        <v>0</v>
      </c>
      <c r="CL25" s="534">
        <f>IF(ISNA(VLOOKUP(I25,Veg_Parameters!$A$3:$N$65,13,FALSE)),0,(VLOOKUP(I25,Veg_Parameters!$A$3:$N$65,13,FALSE)))</f>
        <v>0</v>
      </c>
      <c r="CM25" s="534">
        <f t="shared" si="63"/>
        <v>0</v>
      </c>
      <c r="CN25" s="534">
        <f>IF(ISNA(VLOOKUP(N25,Veg_Parameters!$A$3:$N$65,13,FALSE)),0,(VLOOKUP(N25,Veg_Parameters!$A$3:$N$65,13,FALSE)))</f>
        <v>0</v>
      </c>
      <c r="CO25" s="523">
        <f t="shared" si="64"/>
        <v>0</v>
      </c>
    </row>
    <row r="26" spans="1:93" x14ac:dyDescent="0.2">
      <c r="A26" s="227"/>
      <c r="B26" s="171" t="str">
        <f t="shared" si="65"/>
        <v/>
      </c>
      <c r="C26" s="230"/>
      <c r="D26" s="169"/>
      <c r="E26" s="165"/>
      <c r="F26" s="165"/>
      <c r="G26" s="165"/>
      <c r="H26" s="165"/>
      <c r="I26" s="168"/>
      <c r="J26" s="167"/>
      <c r="K26" s="168"/>
      <c r="L26" s="167"/>
      <c r="M26" s="167"/>
      <c r="N26" s="168"/>
      <c r="O26" s="168"/>
      <c r="P26" s="167"/>
      <c r="Q26" s="167"/>
      <c r="R26" s="167"/>
      <c r="S26" s="222" t="str">
        <f>IF(ISBLANK(A26),"",IF(ISNA(VLOOKUP(I26,Veg_Parameters!$A$3:$N$65,3,FALSE)),0,(VLOOKUP(I26,Veg_Parameters!$A$3:$N$65,3,FALSE))))</f>
        <v/>
      </c>
      <c r="T26" s="222" t="str">
        <f>IF(ISBLANK(N26),"",IF(ISNA(VLOOKUP(N26,Veg_Parameters!$A$3:$N$65,3,FALSE)),0,(VLOOKUP(N26,Veg_Parameters!$A$3:$N$65,3,FALSE))))</f>
        <v/>
      </c>
      <c r="U26" s="523">
        <f t="shared" si="24"/>
        <v>0</v>
      </c>
      <c r="V26" s="523">
        <f t="shared" si="25"/>
        <v>0</v>
      </c>
      <c r="W26" s="524">
        <f>IF(ISBLANK(A26),0,IF(ISNA(VLOOKUP($I26,Veg_Parameters!$A$3:$N$65,10,FALSE)),0,(VLOOKUP($I26,Veg_Parameters!$A$3:$N$65,10,FALSE))))</f>
        <v>0</v>
      </c>
      <c r="X26" s="524">
        <f>IF(ISBLANK(A26),0,IF(ISNA(VLOOKUP($I26,Veg_Parameters!$A$3:$N$65,11,FALSE)),0,(VLOOKUP($I26,Veg_Parameters!$A$3:$N$65,11,FALSE))))</f>
        <v>0</v>
      </c>
      <c r="Y26" s="524">
        <f>IF(ISBLANK(A26),0,IF(ISNA(VLOOKUP($I26,Veg_Parameters!$A$3:$N$65,12,FALSE)),0,(VLOOKUP($I26,Veg_Parameters!$A$3:$N$65,12,FALSE))))</f>
        <v>0</v>
      </c>
      <c r="Z26" s="525">
        <f t="shared" si="1"/>
        <v>0</v>
      </c>
      <c r="AA26" s="525">
        <f t="shared" si="26"/>
        <v>0</v>
      </c>
      <c r="AB26" s="525">
        <f t="shared" si="27"/>
        <v>0</v>
      </c>
      <c r="AC26" s="524">
        <f>IF(ISBLANK(N26),0,IF(ISNA(VLOOKUP($N26,Veg_Parameters!$A$3:$N$65,10,FALSE)),0,(VLOOKUP($N26,Veg_Parameters!$A$3:$N$65,10,FALSE))))</f>
        <v>0</v>
      </c>
      <c r="AD26" s="524">
        <f>IF(ISBLANK(N26),0,IF(ISNA(VLOOKUP($N26,Veg_Parameters!$A$3:$N$65,11,FALSE)),0,(VLOOKUP($N26,Veg_Parameters!$A$3:$N$65,11,FALSE))))</f>
        <v>0</v>
      </c>
      <c r="AE26" s="524">
        <f>IF(ISBLANK(N26), 0, IF(ISNA(VLOOKUP($N26,Veg_Parameters!$A$3:$N$65,12,FALSE)),0,(VLOOKUP($N26,Veg_Parameters!$A$3:$N$65,12,FALSE))))</f>
        <v>0</v>
      </c>
      <c r="AF26" s="523">
        <f t="shared" si="28"/>
        <v>0</v>
      </c>
      <c r="AG26" s="523">
        <f t="shared" si="29"/>
        <v>0</v>
      </c>
      <c r="AH26" s="523">
        <f t="shared" si="30"/>
        <v>0</v>
      </c>
      <c r="AI26" s="526"/>
      <c r="AJ26" s="527">
        <f>AB26*(IF(ISNA(VLOOKUP($I26,Veg_Parameters!$A$3:$N$65,5,FALSE)),0,(VLOOKUP($I26,Veg_Parameters!$A$3:$N$65,5,FALSE))))</f>
        <v>0</v>
      </c>
      <c r="AK26" s="527">
        <f>IF(ISNA(VLOOKUP($I26,Veg_Parameters!$A$3:$N$65,4,FALSE)),0,(VLOOKUP($I26,Veg_Parameters!$A$3:$N$65,4,FALSE)))</f>
        <v>0</v>
      </c>
      <c r="AL26" s="527">
        <f>AB26*(IF(ISNA(VLOOKUP($I26,Veg_Parameters!$A$3:$N$65,7,FALSE)),0, (VLOOKUP($I26,Veg_Parameters!$A$3:$N$65,7,FALSE))))</f>
        <v>0</v>
      </c>
      <c r="AM26" s="528">
        <f>IF(ISNA(VLOOKUP($I26,Veg_Parameters!$A$3:$N$65,6,FALSE)), 0, (VLOOKUP($I26,Veg_Parameters!$A$3:$N$65,6,FALSE)))</f>
        <v>0</v>
      </c>
      <c r="AN26" s="529">
        <f t="shared" si="31"/>
        <v>20</v>
      </c>
      <c r="AO26" s="529">
        <f t="shared" si="32"/>
        <v>0</v>
      </c>
      <c r="AP26" s="529">
        <f t="shared" si="33"/>
        <v>0</v>
      </c>
      <c r="AQ26" s="530">
        <f t="shared" si="34"/>
        <v>0</v>
      </c>
      <c r="AR26" s="527" t="s">
        <v>3</v>
      </c>
      <c r="AS26" s="527">
        <f>IF(ISNA(VLOOKUP($I26,Veg_Parameters!$A$3:$N$65,8,FALSE)), 0, (VLOOKUP($I26,Veg_Parameters!$A$3:$N$65,8,FALSE)))</f>
        <v>0</v>
      </c>
      <c r="AT26" s="527">
        <f>AB26*(IF(ISNA(VLOOKUP($I26,Veg_Parameters!$A$3:$N$65,9,FALSE)), 0, (VLOOKUP($I26,Veg_Parameters!$A$3:$N$65,9,FALSE))))</f>
        <v>0</v>
      </c>
      <c r="AU26" s="527">
        <f>IF(ISBLANK(A26),0,VLOOKUP($I26,Veg_Parameters!$A$4:$U$65,21,))</f>
        <v>0</v>
      </c>
      <c r="AV26" s="527">
        <f t="shared" si="35"/>
        <v>0</v>
      </c>
      <c r="AW26" s="529">
        <f t="shared" si="36"/>
        <v>0</v>
      </c>
      <c r="AX26" s="529">
        <f t="shared" si="37"/>
        <v>0</v>
      </c>
      <c r="AY26" s="529">
        <f t="shared" si="38"/>
        <v>0</v>
      </c>
      <c r="AZ26" s="529">
        <f t="shared" si="39"/>
        <v>0</v>
      </c>
      <c r="BA26" s="529">
        <f t="shared" si="40"/>
        <v>0</v>
      </c>
      <c r="BB26" s="529">
        <f t="shared" si="41"/>
        <v>0</v>
      </c>
      <c r="BC26" s="529">
        <f t="shared" si="42"/>
        <v>0</v>
      </c>
      <c r="BD26" s="531"/>
      <c r="BE26" s="527">
        <f>AH26*(IF(ISNA(VLOOKUP($N26,Veg_Parameters!$A$3:$N$65,5,FALSE)),0,(VLOOKUP($N26,Veg_Parameters!$A$3:$N$65,5,FALSE))))</f>
        <v>0</v>
      </c>
      <c r="BF26" s="527">
        <f>IF(ISNA(VLOOKUP($N26,Veg_Parameters!$A$3:$N$65,4,FALSE)),0,(VLOOKUP($N26,Veg_Parameters!$A$3:$N$65,4,FALSE)))</f>
        <v>0</v>
      </c>
      <c r="BG26" s="527">
        <f>AH26*(IF(ISNA(VLOOKUP($N26,Veg_Parameters!$A$3:$N$65,7,FALSE)),0, (VLOOKUP($N26,Veg_Parameters!$A$3:$N$65,7,FALSE))))</f>
        <v>0</v>
      </c>
      <c r="BH26" s="527">
        <f>IF(ISNA(VLOOKUP($N26,Veg_Parameters!$A$3:$N$65,6,FALSE)), 0, (VLOOKUP($N26,Veg_Parameters!$A$3:$N$65,6,FALSE)))</f>
        <v>0</v>
      </c>
      <c r="BI26" s="529">
        <f t="shared" si="43"/>
        <v>20</v>
      </c>
      <c r="BJ26" s="529">
        <f t="shared" si="44"/>
        <v>0</v>
      </c>
      <c r="BK26" s="529">
        <f t="shared" si="45"/>
        <v>0</v>
      </c>
      <c r="BL26" s="530">
        <f t="shared" si="46"/>
        <v>0</v>
      </c>
      <c r="BM26" s="527" t="s">
        <v>3</v>
      </c>
      <c r="BN26" s="527">
        <f>IF(ISNA(VLOOKUP(N26,Veg_Parameters!$A$3:$N$65,8,FALSE)), 0, (VLOOKUP($N26,Veg_Parameters!$A$3:$N$65,8,FALSE)))</f>
        <v>0</v>
      </c>
      <c r="BO26" s="527">
        <f>AH26*(IF(ISNA(VLOOKUP($N26,Veg_Parameters!$A$3:$N$65,9,FALSE)), 0, (VLOOKUP($N26,Veg_Parameters!$A$3:$N$65,9,FALSE))))</f>
        <v>0</v>
      </c>
      <c r="BP26" s="527" t="str">
        <f>IF(ISBLANK(N26),"0",VLOOKUP($N26,Veg_Parameters!$A$4:$U$65,21,))</f>
        <v>0</v>
      </c>
      <c r="BQ26" s="529">
        <f t="shared" si="47"/>
        <v>0</v>
      </c>
      <c r="BR26" s="529">
        <f t="shared" si="48"/>
        <v>0</v>
      </c>
      <c r="BS26" s="529">
        <f t="shared" si="49"/>
        <v>0</v>
      </c>
      <c r="BT26" s="529">
        <f t="shared" si="50"/>
        <v>0</v>
      </c>
      <c r="BU26" s="529">
        <f t="shared" si="51"/>
        <v>0</v>
      </c>
      <c r="BV26" s="529">
        <f t="shared" si="52"/>
        <v>0</v>
      </c>
      <c r="BW26" s="532" t="str">
        <f t="shared" si="53"/>
        <v/>
      </c>
      <c r="BX26" s="532" t="str">
        <f t="shared" si="54"/>
        <v/>
      </c>
      <c r="BY26" s="532" t="str">
        <f t="shared" si="55"/>
        <v/>
      </c>
      <c r="BZ26" s="532" t="str">
        <f t="shared" si="56"/>
        <v/>
      </c>
      <c r="CA26" s="532">
        <f t="shared" si="57"/>
        <v>0</v>
      </c>
      <c r="CB26" s="533"/>
      <c r="CC26" s="624">
        <f t="shared" si="58"/>
        <v>0</v>
      </c>
      <c r="CD26" s="534">
        <f t="shared" si="59"/>
        <v>0</v>
      </c>
      <c r="CE26" s="534">
        <f t="shared" si="60"/>
        <v>0</v>
      </c>
      <c r="CF26" s="534">
        <f t="shared" si="61"/>
        <v>0</v>
      </c>
      <c r="CG26" s="534"/>
      <c r="CH26" s="534"/>
      <c r="CI26" s="534">
        <f t="shared" si="62"/>
        <v>0</v>
      </c>
      <c r="CL26" s="534">
        <f>IF(ISNA(VLOOKUP(I26,Veg_Parameters!$A$3:$N$65,13,FALSE)),0,(VLOOKUP(I26,Veg_Parameters!$A$3:$N$65,13,FALSE)))</f>
        <v>0</v>
      </c>
      <c r="CM26" s="534">
        <f t="shared" si="63"/>
        <v>0</v>
      </c>
      <c r="CN26" s="534">
        <f>IF(ISNA(VLOOKUP(N26,Veg_Parameters!$A$3:$N$65,13,FALSE)),0,(VLOOKUP(N26,Veg_Parameters!$A$3:$N$65,13,FALSE)))</f>
        <v>0</v>
      </c>
      <c r="CO26" s="523">
        <f t="shared" si="64"/>
        <v>0</v>
      </c>
    </row>
    <row r="27" spans="1:93" x14ac:dyDescent="0.2">
      <c r="A27" s="227"/>
      <c r="B27" s="171" t="str">
        <f t="shared" si="65"/>
        <v/>
      </c>
      <c r="C27" s="230"/>
      <c r="D27" s="169"/>
      <c r="E27" s="165"/>
      <c r="F27" s="165"/>
      <c r="G27" s="165"/>
      <c r="H27" s="165"/>
      <c r="I27" s="168"/>
      <c r="J27" s="167"/>
      <c r="K27" s="168"/>
      <c r="L27" s="167"/>
      <c r="M27" s="167"/>
      <c r="N27" s="168"/>
      <c r="O27" s="168"/>
      <c r="P27" s="167"/>
      <c r="Q27" s="167"/>
      <c r="R27" s="167"/>
      <c r="S27" s="222" t="str">
        <f>IF(ISBLANK(A27),"",IF(ISNA(VLOOKUP(I27,Veg_Parameters!$A$3:$N$65,3,FALSE)),0,(VLOOKUP(I27,Veg_Parameters!$A$3:$N$65,3,FALSE))))</f>
        <v/>
      </c>
      <c r="T27" s="222" t="str">
        <f>IF(ISBLANK(N27),"",IF(ISNA(VLOOKUP(N27,Veg_Parameters!$A$3:$N$65,3,FALSE)),0,(VLOOKUP(N27,Veg_Parameters!$A$3:$N$65,3,FALSE))))</f>
        <v/>
      </c>
      <c r="U27" s="523">
        <f t="shared" si="24"/>
        <v>0</v>
      </c>
      <c r="V27" s="523">
        <f t="shared" si="25"/>
        <v>0</v>
      </c>
      <c r="W27" s="524">
        <f>IF(ISBLANK(A27),0,IF(ISNA(VLOOKUP($I27,Veg_Parameters!$A$3:$N$65,10,FALSE)),0,(VLOOKUP($I27,Veg_Parameters!$A$3:$N$65,10,FALSE))))</f>
        <v>0</v>
      </c>
      <c r="X27" s="524">
        <f>IF(ISBLANK(A27),0,IF(ISNA(VLOOKUP($I27,Veg_Parameters!$A$3:$N$65,11,FALSE)),0,(VLOOKUP($I27,Veg_Parameters!$A$3:$N$65,11,FALSE))))</f>
        <v>0</v>
      </c>
      <c r="Y27" s="524">
        <f>IF(ISBLANK(A27),0,IF(ISNA(VLOOKUP($I27,Veg_Parameters!$A$3:$N$65,12,FALSE)),0,(VLOOKUP($I27,Veg_Parameters!$A$3:$N$65,12,FALSE))))</f>
        <v>0</v>
      </c>
      <c r="Z27" s="525">
        <f t="shared" si="1"/>
        <v>0</v>
      </c>
      <c r="AA27" s="525">
        <f t="shared" si="26"/>
        <v>0</v>
      </c>
      <c r="AB27" s="525">
        <f t="shared" si="27"/>
        <v>0</v>
      </c>
      <c r="AC27" s="524">
        <f>IF(ISBLANK(N27),0,IF(ISNA(VLOOKUP($N27,Veg_Parameters!$A$3:$N$65,10,FALSE)),0,(VLOOKUP($N27,Veg_Parameters!$A$3:$N$65,10,FALSE))))</f>
        <v>0</v>
      </c>
      <c r="AD27" s="524">
        <f>IF(ISBLANK(N27),0,IF(ISNA(VLOOKUP($N27,Veg_Parameters!$A$3:$N$65,11,FALSE)),0,(VLOOKUP($N27,Veg_Parameters!$A$3:$N$65,11,FALSE))))</f>
        <v>0</v>
      </c>
      <c r="AE27" s="524">
        <f>IF(ISBLANK(N27), 0, IF(ISNA(VLOOKUP($N27,Veg_Parameters!$A$3:$N$65,12,FALSE)),0,(VLOOKUP($N27,Veg_Parameters!$A$3:$N$65,12,FALSE))))</f>
        <v>0</v>
      </c>
      <c r="AF27" s="523">
        <f t="shared" si="28"/>
        <v>0</v>
      </c>
      <c r="AG27" s="523">
        <f t="shared" si="29"/>
        <v>0</v>
      </c>
      <c r="AH27" s="523">
        <f t="shared" si="30"/>
        <v>0</v>
      </c>
      <c r="AI27" s="526"/>
      <c r="AJ27" s="527">
        <f>AB27*(IF(ISNA(VLOOKUP($I27,Veg_Parameters!$A$3:$N$65,5,FALSE)),0,(VLOOKUP($I27,Veg_Parameters!$A$3:$N$65,5,FALSE))))</f>
        <v>0</v>
      </c>
      <c r="AK27" s="527">
        <f>IF(ISNA(VLOOKUP($I27,Veg_Parameters!$A$3:$N$65,4,FALSE)),0,(VLOOKUP($I27,Veg_Parameters!$A$3:$N$65,4,FALSE)))</f>
        <v>0</v>
      </c>
      <c r="AL27" s="527">
        <f>AB27*(IF(ISNA(VLOOKUP($I27,Veg_Parameters!$A$3:$N$65,7,FALSE)),0, (VLOOKUP($I27,Veg_Parameters!$A$3:$N$65,7,FALSE))))</f>
        <v>0</v>
      </c>
      <c r="AM27" s="528">
        <f>IF(ISNA(VLOOKUP($I27,Veg_Parameters!$A$3:$N$65,6,FALSE)), 0, (VLOOKUP($I27,Veg_Parameters!$A$3:$N$65,6,FALSE)))</f>
        <v>0</v>
      </c>
      <c r="AN27" s="529">
        <f t="shared" si="31"/>
        <v>20</v>
      </c>
      <c r="AO27" s="529">
        <f t="shared" si="32"/>
        <v>0</v>
      </c>
      <c r="AP27" s="529">
        <f t="shared" si="33"/>
        <v>0</v>
      </c>
      <c r="AQ27" s="530">
        <f t="shared" si="34"/>
        <v>0</v>
      </c>
      <c r="AR27" s="527" t="s">
        <v>3</v>
      </c>
      <c r="AS27" s="527">
        <f>IF(ISNA(VLOOKUP($I27,Veg_Parameters!$A$3:$N$65,8,FALSE)), 0, (VLOOKUP($I27,Veg_Parameters!$A$3:$N$65,8,FALSE)))</f>
        <v>0</v>
      </c>
      <c r="AT27" s="527">
        <f>AB27*(IF(ISNA(VLOOKUP($I27,Veg_Parameters!$A$3:$N$65,9,FALSE)), 0, (VLOOKUP($I27,Veg_Parameters!$A$3:$N$65,9,FALSE))))</f>
        <v>0</v>
      </c>
      <c r="AU27" s="527">
        <f>IF(ISBLANK(A27),0,VLOOKUP($I27,Veg_Parameters!$A$4:$U$65,21,))</f>
        <v>0</v>
      </c>
      <c r="AV27" s="527">
        <f t="shared" si="35"/>
        <v>0</v>
      </c>
      <c r="AW27" s="529">
        <f t="shared" si="36"/>
        <v>0</v>
      </c>
      <c r="AX27" s="529">
        <f t="shared" si="37"/>
        <v>0</v>
      </c>
      <c r="AY27" s="529">
        <f t="shared" si="38"/>
        <v>0</v>
      </c>
      <c r="AZ27" s="529">
        <f t="shared" si="39"/>
        <v>0</v>
      </c>
      <c r="BA27" s="529">
        <f t="shared" si="40"/>
        <v>0</v>
      </c>
      <c r="BB27" s="529">
        <f t="shared" si="41"/>
        <v>0</v>
      </c>
      <c r="BC27" s="529">
        <f t="shared" si="42"/>
        <v>0</v>
      </c>
      <c r="BD27" s="531"/>
      <c r="BE27" s="527">
        <f>AH27*(IF(ISNA(VLOOKUP($N27,Veg_Parameters!$A$3:$N$65,5,FALSE)),0,(VLOOKUP($N27,Veg_Parameters!$A$3:$N$65,5,FALSE))))</f>
        <v>0</v>
      </c>
      <c r="BF27" s="527">
        <f>IF(ISNA(VLOOKUP($N27,Veg_Parameters!$A$3:$N$65,4,FALSE)),0,(VLOOKUP($N27,Veg_Parameters!$A$3:$N$65,4,FALSE)))</f>
        <v>0</v>
      </c>
      <c r="BG27" s="527">
        <f>AH27*(IF(ISNA(VLOOKUP($N27,Veg_Parameters!$A$3:$N$65,7,FALSE)),0, (VLOOKUP($N27,Veg_Parameters!$A$3:$N$65,7,FALSE))))</f>
        <v>0</v>
      </c>
      <c r="BH27" s="527">
        <f>IF(ISNA(VLOOKUP($N27,Veg_Parameters!$A$3:$N$65,6,FALSE)), 0, (VLOOKUP($N27,Veg_Parameters!$A$3:$N$65,6,FALSE)))</f>
        <v>0</v>
      </c>
      <c r="BI27" s="529">
        <f t="shared" si="43"/>
        <v>20</v>
      </c>
      <c r="BJ27" s="529">
        <f t="shared" si="44"/>
        <v>0</v>
      </c>
      <c r="BK27" s="529">
        <f t="shared" si="45"/>
        <v>0</v>
      </c>
      <c r="BL27" s="530">
        <f t="shared" si="46"/>
        <v>0</v>
      </c>
      <c r="BM27" s="527" t="s">
        <v>3</v>
      </c>
      <c r="BN27" s="527">
        <f>IF(ISNA(VLOOKUP(N27,Veg_Parameters!$A$3:$N$65,8,FALSE)), 0, (VLOOKUP($N27,Veg_Parameters!$A$3:$N$65,8,FALSE)))</f>
        <v>0</v>
      </c>
      <c r="BO27" s="527">
        <f>AH27*(IF(ISNA(VLOOKUP($N27,Veg_Parameters!$A$3:$N$65,9,FALSE)), 0, (VLOOKUP($N27,Veg_Parameters!$A$3:$N$65,9,FALSE))))</f>
        <v>0</v>
      </c>
      <c r="BP27" s="527" t="str">
        <f>IF(ISBLANK(N27),"0",VLOOKUP($N27,Veg_Parameters!$A$4:$U$65,21,))</f>
        <v>0</v>
      </c>
      <c r="BQ27" s="529">
        <f t="shared" si="47"/>
        <v>0</v>
      </c>
      <c r="BR27" s="529">
        <f t="shared" si="48"/>
        <v>0</v>
      </c>
      <c r="BS27" s="529">
        <f t="shared" si="49"/>
        <v>0</v>
      </c>
      <c r="BT27" s="529">
        <f t="shared" si="50"/>
        <v>0</v>
      </c>
      <c r="BU27" s="529">
        <f t="shared" si="51"/>
        <v>0</v>
      </c>
      <c r="BV27" s="529">
        <f t="shared" si="52"/>
        <v>0</v>
      </c>
      <c r="BW27" s="532" t="str">
        <f t="shared" si="53"/>
        <v/>
      </c>
      <c r="BX27" s="532" t="str">
        <f t="shared" si="54"/>
        <v/>
      </c>
      <c r="BY27" s="532" t="str">
        <f t="shared" si="55"/>
        <v/>
      </c>
      <c r="BZ27" s="532" t="str">
        <f t="shared" si="56"/>
        <v/>
      </c>
      <c r="CA27" s="532">
        <f t="shared" si="57"/>
        <v>0</v>
      </c>
      <c r="CB27" s="533"/>
      <c r="CC27" s="624">
        <f t="shared" si="58"/>
        <v>0</v>
      </c>
      <c r="CD27" s="534">
        <f t="shared" si="59"/>
        <v>0</v>
      </c>
      <c r="CE27" s="534">
        <f t="shared" si="60"/>
        <v>0</v>
      </c>
      <c r="CF27" s="534">
        <f t="shared" si="61"/>
        <v>0</v>
      </c>
      <c r="CG27" s="534"/>
      <c r="CH27" s="534"/>
      <c r="CI27" s="534">
        <f t="shared" si="62"/>
        <v>0</v>
      </c>
      <c r="CL27" s="534">
        <f>IF(ISNA(VLOOKUP(I27,Veg_Parameters!$A$3:$N$65,13,FALSE)),0,(VLOOKUP(I27,Veg_Parameters!$A$3:$N$65,13,FALSE)))</f>
        <v>0</v>
      </c>
      <c r="CM27" s="534">
        <f t="shared" si="63"/>
        <v>0</v>
      </c>
      <c r="CN27" s="534">
        <f>IF(ISNA(VLOOKUP(N27,Veg_Parameters!$A$3:$N$65,13,FALSE)),0,(VLOOKUP(N27,Veg_Parameters!$A$3:$N$65,13,FALSE)))</f>
        <v>0</v>
      </c>
      <c r="CO27" s="523">
        <f t="shared" si="64"/>
        <v>0</v>
      </c>
    </row>
    <row r="28" spans="1:93" x14ac:dyDescent="0.2">
      <c r="A28" s="227"/>
      <c r="B28" s="171" t="str">
        <f t="shared" si="65"/>
        <v/>
      </c>
      <c r="C28" s="230"/>
      <c r="D28" s="169"/>
      <c r="E28" s="165"/>
      <c r="F28" s="165"/>
      <c r="G28" s="165"/>
      <c r="H28" s="165"/>
      <c r="I28" s="168"/>
      <c r="J28" s="167"/>
      <c r="K28" s="168"/>
      <c r="L28" s="167"/>
      <c r="M28" s="167"/>
      <c r="N28" s="168"/>
      <c r="O28" s="168"/>
      <c r="P28" s="167"/>
      <c r="Q28" s="167"/>
      <c r="R28" s="167"/>
      <c r="S28" s="222" t="str">
        <f>IF(ISBLANK(A28),"",IF(ISNA(VLOOKUP(I28,Veg_Parameters!$A$3:$N$65,3,FALSE)),0,(VLOOKUP(I28,Veg_Parameters!$A$3:$N$65,3,FALSE))))</f>
        <v/>
      </c>
      <c r="T28" s="222" t="str">
        <f>IF(ISBLANK(N28),"",IF(ISNA(VLOOKUP(N28,Veg_Parameters!$A$3:$N$65,3,FALSE)),0,(VLOOKUP(N28,Veg_Parameters!$A$3:$N$65,3,FALSE))))</f>
        <v/>
      </c>
      <c r="U28" s="523">
        <f t="shared" si="24"/>
        <v>0</v>
      </c>
      <c r="V28" s="523">
        <f t="shared" si="25"/>
        <v>0</v>
      </c>
      <c r="W28" s="524">
        <f>IF(ISBLANK(A28),0,IF(ISNA(VLOOKUP($I28,Veg_Parameters!$A$3:$N$65,10,FALSE)),0,(VLOOKUP($I28,Veg_Parameters!$A$3:$N$65,10,FALSE))))</f>
        <v>0</v>
      </c>
      <c r="X28" s="524">
        <f>IF(ISBLANK(A28),0,IF(ISNA(VLOOKUP($I28,Veg_Parameters!$A$3:$N$65,11,FALSE)),0,(VLOOKUP($I28,Veg_Parameters!$A$3:$N$65,11,FALSE))))</f>
        <v>0</v>
      </c>
      <c r="Y28" s="524">
        <f>IF(ISBLANK(A28),0,IF(ISNA(VLOOKUP($I28,Veg_Parameters!$A$3:$N$65,12,FALSE)),0,(VLOOKUP($I28,Veg_Parameters!$A$3:$N$65,12,FALSE))))</f>
        <v>0</v>
      </c>
      <c r="Z28" s="525">
        <f t="shared" si="1"/>
        <v>0</v>
      </c>
      <c r="AA28" s="525">
        <f t="shared" si="26"/>
        <v>0</v>
      </c>
      <c r="AB28" s="525">
        <f t="shared" si="27"/>
        <v>0</v>
      </c>
      <c r="AC28" s="524">
        <f>IF(ISBLANK(N28),0,IF(ISNA(VLOOKUP($N28,Veg_Parameters!$A$3:$N$65,10,FALSE)),0,(VLOOKUP($N28,Veg_Parameters!$A$3:$N$65,10,FALSE))))</f>
        <v>0</v>
      </c>
      <c r="AD28" s="524">
        <f>IF(ISBLANK(N28),0,IF(ISNA(VLOOKUP($N28,Veg_Parameters!$A$3:$N$65,11,FALSE)),0,(VLOOKUP($N28,Veg_Parameters!$A$3:$N$65,11,FALSE))))</f>
        <v>0</v>
      </c>
      <c r="AE28" s="524">
        <f>IF(ISBLANK(N28), 0, IF(ISNA(VLOOKUP($N28,Veg_Parameters!$A$3:$N$65,12,FALSE)),0,(VLOOKUP($N28,Veg_Parameters!$A$3:$N$65,12,FALSE))))</f>
        <v>0</v>
      </c>
      <c r="AF28" s="523">
        <f t="shared" si="28"/>
        <v>0</v>
      </c>
      <c r="AG28" s="523">
        <f t="shared" si="29"/>
        <v>0</v>
      </c>
      <c r="AH28" s="523">
        <f t="shared" si="30"/>
        <v>0</v>
      </c>
      <c r="AI28" s="526"/>
      <c r="AJ28" s="527">
        <f>AB28*(IF(ISNA(VLOOKUP($I28,Veg_Parameters!$A$3:$N$65,5,FALSE)),0,(VLOOKUP($I28,Veg_Parameters!$A$3:$N$65,5,FALSE))))</f>
        <v>0</v>
      </c>
      <c r="AK28" s="527">
        <f>IF(ISNA(VLOOKUP($I28,Veg_Parameters!$A$3:$N$65,4,FALSE)),0,(VLOOKUP($I28,Veg_Parameters!$A$3:$N$65,4,FALSE)))</f>
        <v>0</v>
      </c>
      <c r="AL28" s="527">
        <f>AB28*(IF(ISNA(VLOOKUP($I28,Veg_Parameters!$A$3:$N$65,7,FALSE)),0, (VLOOKUP($I28,Veg_Parameters!$A$3:$N$65,7,FALSE))))</f>
        <v>0</v>
      </c>
      <c r="AM28" s="528">
        <f>IF(ISNA(VLOOKUP($I28,Veg_Parameters!$A$3:$N$65,6,FALSE)), 0, (VLOOKUP($I28,Veg_Parameters!$A$3:$N$65,6,FALSE)))</f>
        <v>0</v>
      </c>
      <c r="AN28" s="529">
        <f t="shared" si="31"/>
        <v>20</v>
      </c>
      <c r="AO28" s="529">
        <f t="shared" si="32"/>
        <v>0</v>
      </c>
      <c r="AP28" s="529">
        <f t="shared" si="33"/>
        <v>0</v>
      </c>
      <c r="AQ28" s="530">
        <f t="shared" si="34"/>
        <v>0</v>
      </c>
      <c r="AR28" s="527" t="s">
        <v>3</v>
      </c>
      <c r="AS28" s="527">
        <f>IF(ISNA(VLOOKUP($I28,Veg_Parameters!$A$3:$N$65,8,FALSE)), 0, (VLOOKUP($I28,Veg_Parameters!$A$3:$N$65,8,FALSE)))</f>
        <v>0</v>
      </c>
      <c r="AT28" s="527">
        <f>AB28*(IF(ISNA(VLOOKUP($I28,Veg_Parameters!$A$3:$N$65,9,FALSE)), 0, (VLOOKUP($I28,Veg_Parameters!$A$3:$N$65,9,FALSE))))</f>
        <v>0</v>
      </c>
      <c r="AU28" s="527">
        <f>IF(ISBLANK(A28),0,VLOOKUP($I28,Veg_Parameters!$A$4:$U$65,21,))</f>
        <v>0</v>
      </c>
      <c r="AV28" s="527">
        <f t="shared" si="35"/>
        <v>0</v>
      </c>
      <c r="AW28" s="529">
        <f t="shared" si="36"/>
        <v>0</v>
      </c>
      <c r="AX28" s="529">
        <f t="shared" si="37"/>
        <v>0</v>
      </c>
      <c r="AY28" s="529">
        <f t="shared" si="38"/>
        <v>0</v>
      </c>
      <c r="AZ28" s="529">
        <f t="shared" si="39"/>
        <v>0</v>
      </c>
      <c r="BA28" s="529">
        <f t="shared" si="40"/>
        <v>0</v>
      </c>
      <c r="BB28" s="529">
        <f t="shared" si="41"/>
        <v>0</v>
      </c>
      <c r="BC28" s="529">
        <f t="shared" si="42"/>
        <v>0</v>
      </c>
      <c r="BD28" s="531"/>
      <c r="BE28" s="527">
        <f>AH28*(IF(ISNA(VLOOKUP($N28,Veg_Parameters!$A$3:$N$65,5,FALSE)),0,(VLOOKUP($N28,Veg_Parameters!$A$3:$N$65,5,FALSE))))</f>
        <v>0</v>
      </c>
      <c r="BF28" s="527">
        <f>IF(ISNA(VLOOKUP($N28,Veg_Parameters!$A$3:$N$65,4,FALSE)),0,(VLOOKUP($N28,Veg_Parameters!$A$3:$N$65,4,FALSE)))</f>
        <v>0</v>
      </c>
      <c r="BG28" s="527">
        <f>AH28*(IF(ISNA(VLOOKUP($N28,Veg_Parameters!$A$3:$N$65,7,FALSE)),0, (VLOOKUP($N28,Veg_Parameters!$A$3:$N$65,7,FALSE))))</f>
        <v>0</v>
      </c>
      <c r="BH28" s="527">
        <f>IF(ISNA(VLOOKUP($N28,Veg_Parameters!$A$3:$N$65,6,FALSE)), 0, (VLOOKUP($N28,Veg_Parameters!$A$3:$N$65,6,FALSE)))</f>
        <v>0</v>
      </c>
      <c r="BI28" s="529">
        <f t="shared" si="43"/>
        <v>20</v>
      </c>
      <c r="BJ28" s="529">
        <f t="shared" si="44"/>
        <v>0</v>
      </c>
      <c r="BK28" s="529">
        <f t="shared" si="45"/>
        <v>0</v>
      </c>
      <c r="BL28" s="530">
        <f t="shared" si="46"/>
        <v>0</v>
      </c>
      <c r="BM28" s="527" t="s">
        <v>3</v>
      </c>
      <c r="BN28" s="527">
        <f>IF(ISNA(VLOOKUP(N28,Veg_Parameters!$A$3:$N$65,8,FALSE)), 0, (VLOOKUP($N28,Veg_Parameters!$A$3:$N$65,8,FALSE)))</f>
        <v>0</v>
      </c>
      <c r="BO28" s="527">
        <f>AH28*(IF(ISNA(VLOOKUP($N28,Veg_Parameters!$A$3:$N$65,9,FALSE)), 0, (VLOOKUP($N28,Veg_Parameters!$A$3:$N$65,9,FALSE))))</f>
        <v>0</v>
      </c>
      <c r="BP28" s="527" t="str">
        <f>IF(ISBLANK(N28),"0",VLOOKUP($N28,Veg_Parameters!$A$4:$U$65,21,))</f>
        <v>0</v>
      </c>
      <c r="BQ28" s="529">
        <f t="shared" si="47"/>
        <v>0</v>
      </c>
      <c r="BR28" s="529">
        <f t="shared" si="48"/>
        <v>0</v>
      </c>
      <c r="BS28" s="529">
        <f t="shared" si="49"/>
        <v>0</v>
      </c>
      <c r="BT28" s="529">
        <f t="shared" si="50"/>
        <v>0</v>
      </c>
      <c r="BU28" s="529">
        <f t="shared" si="51"/>
        <v>0</v>
      </c>
      <c r="BV28" s="529">
        <f t="shared" si="52"/>
        <v>0</v>
      </c>
      <c r="BW28" s="532" t="str">
        <f t="shared" si="53"/>
        <v/>
      </c>
      <c r="BX28" s="532" t="str">
        <f t="shared" si="54"/>
        <v/>
      </c>
      <c r="BY28" s="532" t="str">
        <f t="shared" si="55"/>
        <v/>
      </c>
      <c r="BZ28" s="532" t="str">
        <f t="shared" si="56"/>
        <v/>
      </c>
      <c r="CA28" s="532">
        <f t="shared" si="57"/>
        <v>0</v>
      </c>
      <c r="CB28" s="533"/>
      <c r="CC28" s="624">
        <f t="shared" si="58"/>
        <v>0</v>
      </c>
      <c r="CD28" s="534">
        <f t="shared" si="59"/>
        <v>0</v>
      </c>
      <c r="CE28" s="534">
        <f t="shared" si="60"/>
        <v>0</v>
      </c>
      <c r="CF28" s="534">
        <f t="shared" si="61"/>
        <v>0</v>
      </c>
      <c r="CG28" s="534"/>
      <c r="CH28" s="534"/>
      <c r="CI28" s="534">
        <f t="shared" si="62"/>
        <v>0</v>
      </c>
      <c r="CL28" s="534">
        <f>IF(ISNA(VLOOKUP(I28,Veg_Parameters!$A$3:$N$65,13,FALSE)),0,(VLOOKUP(I28,Veg_Parameters!$A$3:$N$65,13,FALSE)))</f>
        <v>0</v>
      </c>
      <c r="CM28" s="534">
        <f t="shared" si="63"/>
        <v>0</v>
      </c>
      <c r="CN28" s="534">
        <f>IF(ISNA(VLOOKUP(N28,Veg_Parameters!$A$3:$N$65,13,FALSE)),0,(VLOOKUP(N28,Veg_Parameters!$A$3:$N$65,13,FALSE)))</f>
        <v>0</v>
      </c>
      <c r="CO28" s="523">
        <f t="shared" si="64"/>
        <v>0</v>
      </c>
    </row>
    <row r="29" spans="1:93" x14ac:dyDescent="0.2">
      <c r="A29" s="227"/>
      <c r="B29" s="171" t="str">
        <f t="shared" si="65"/>
        <v/>
      </c>
      <c r="C29" s="230"/>
      <c r="D29" s="169"/>
      <c r="E29" s="165"/>
      <c r="F29" s="165"/>
      <c r="G29" s="165"/>
      <c r="H29" s="165"/>
      <c r="I29" s="168"/>
      <c r="J29" s="167"/>
      <c r="K29" s="168"/>
      <c r="L29" s="167"/>
      <c r="M29" s="167"/>
      <c r="N29" s="168"/>
      <c r="O29" s="168"/>
      <c r="P29" s="167"/>
      <c r="Q29" s="167"/>
      <c r="R29" s="167"/>
      <c r="S29" s="222" t="str">
        <f>IF(ISBLANK(A29),"",IF(ISNA(VLOOKUP(I29,Veg_Parameters!$A$3:$N$65,3,FALSE)),0,(VLOOKUP(I29,Veg_Parameters!$A$3:$N$65,3,FALSE))))</f>
        <v/>
      </c>
      <c r="T29" s="222" t="str">
        <f>IF(ISBLANK(N29),"",IF(ISNA(VLOOKUP(N29,Veg_Parameters!$A$3:$N$65,3,FALSE)),0,(VLOOKUP(N29,Veg_Parameters!$A$3:$N$65,3,FALSE))))</f>
        <v/>
      </c>
      <c r="U29" s="523">
        <f t="shared" si="24"/>
        <v>0</v>
      </c>
      <c r="V29" s="523">
        <f t="shared" si="25"/>
        <v>0</v>
      </c>
      <c r="W29" s="524">
        <f>IF(ISBLANK(A29),0,IF(ISNA(VLOOKUP($I29,Veg_Parameters!$A$3:$N$65,10,FALSE)),0,(VLOOKUP($I29,Veg_Parameters!$A$3:$N$65,10,FALSE))))</f>
        <v>0</v>
      </c>
      <c r="X29" s="524">
        <f>IF(ISBLANK(A29),0,IF(ISNA(VLOOKUP($I29,Veg_Parameters!$A$3:$N$65,11,FALSE)),0,(VLOOKUP($I29,Veg_Parameters!$A$3:$N$65,11,FALSE))))</f>
        <v>0</v>
      </c>
      <c r="Y29" s="524">
        <f>IF(ISBLANK(A29),0,IF(ISNA(VLOOKUP($I29,Veg_Parameters!$A$3:$N$65,12,FALSE)),0,(VLOOKUP($I29,Veg_Parameters!$A$3:$N$65,12,FALSE))))</f>
        <v>0</v>
      </c>
      <c r="Z29" s="525">
        <f t="shared" si="1"/>
        <v>0</v>
      </c>
      <c r="AA29" s="525">
        <f t="shared" si="26"/>
        <v>0</v>
      </c>
      <c r="AB29" s="525">
        <f t="shared" si="27"/>
        <v>0</v>
      </c>
      <c r="AC29" s="524">
        <f>IF(ISBLANK(N29),0,IF(ISNA(VLOOKUP($N29,Veg_Parameters!$A$3:$N$65,10,FALSE)),0,(VLOOKUP($N29,Veg_Parameters!$A$3:$N$65,10,FALSE))))</f>
        <v>0</v>
      </c>
      <c r="AD29" s="524">
        <f>IF(ISBLANK(N29),0,IF(ISNA(VLOOKUP($N29,Veg_Parameters!$A$3:$N$65,11,FALSE)),0,(VLOOKUP($N29,Veg_Parameters!$A$3:$N$65,11,FALSE))))</f>
        <v>0</v>
      </c>
      <c r="AE29" s="524">
        <f>IF(ISBLANK(N29), 0, IF(ISNA(VLOOKUP($N29,Veg_Parameters!$A$3:$N$65,12,FALSE)),0,(VLOOKUP($N29,Veg_Parameters!$A$3:$N$65,12,FALSE))))</f>
        <v>0</v>
      </c>
      <c r="AF29" s="523">
        <f t="shared" si="28"/>
        <v>0</v>
      </c>
      <c r="AG29" s="523">
        <f t="shared" si="29"/>
        <v>0</v>
      </c>
      <c r="AH29" s="523">
        <f t="shared" si="30"/>
        <v>0</v>
      </c>
      <c r="AI29" s="526"/>
      <c r="AJ29" s="527">
        <f>AB29*(IF(ISNA(VLOOKUP($I29,Veg_Parameters!$A$3:$N$65,5,FALSE)),0,(VLOOKUP($I29,Veg_Parameters!$A$3:$N$65,5,FALSE))))</f>
        <v>0</v>
      </c>
      <c r="AK29" s="527">
        <f>IF(ISNA(VLOOKUP($I29,Veg_Parameters!$A$3:$N$65,4,FALSE)),0,(VLOOKUP($I29,Veg_Parameters!$A$3:$N$65,4,FALSE)))</f>
        <v>0</v>
      </c>
      <c r="AL29" s="527">
        <f>AB29*(IF(ISNA(VLOOKUP($I29,Veg_Parameters!$A$3:$N$65,7,FALSE)),0, (VLOOKUP($I29,Veg_Parameters!$A$3:$N$65,7,FALSE))))</f>
        <v>0</v>
      </c>
      <c r="AM29" s="528">
        <f>IF(ISNA(VLOOKUP($I29,Veg_Parameters!$A$3:$N$65,6,FALSE)), 0, (VLOOKUP($I29,Veg_Parameters!$A$3:$N$65,6,FALSE)))</f>
        <v>0</v>
      </c>
      <c r="AN29" s="529">
        <f t="shared" si="31"/>
        <v>20</v>
      </c>
      <c r="AO29" s="529">
        <f t="shared" si="32"/>
        <v>0</v>
      </c>
      <c r="AP29" s="529">
        <f t="shared" si="33"/>
        <v>0</v>
      </c>
      <c r="AQ29" s="530">
        <f t="shared" si="34"/>
        <v>0</v>
      </c>
      <c r="AR29" s="527" t="s">
        <v>3</v>
      </c>
      <c r="AS29" s="527">
        <f>IF(ISNA(VLOOKUP($I29,Veg_Parameters!$A$3:$N$65,8,FALSE)), 0, (VLOOKUP($I29,Veg_Parameters!$A$3:$N$65,8,FALSE)))</f>
        <v>0</v>
      </c>
      <c r="AT29" s="527">
        <f>AB29*(IF(ISNA(VLOOKUP($I29,Veg_Parameters!$A$3:$N$65,9,FALSE)), 0, (VLOOKUP($I29,Veg_Parameters!$A$3:$N$65,9,FALSE))))</f>
        <v>0</v>
      </c>
      <c r="AU29" s="527">
        <f>IF(ISBLANK(A29),0,VLOOKUP($I29,Veg_Parameters!$A$4:$U$65,21,))</f>
        <v>0</v>
      </c>
      <c r="AV29" s="527">
        <f t="shared" si="35"/>
        <v>0</v>
      </c>
      <c r="AW29" s="529">
        <f t="shared" si="36"/>
        <v>0</v>
      </c>
      <c r="AX29" s="529">
        <f t="shared" si="37"/>
        <v>0</v>
      </c>
      <c r="AY29" s="529">
        <f t="shared" si="38"/>
        <v>0</v>
      </c>
      <c r="AZ29" s="529">
        <f t="shared" si="39"/>
        <v>0</v>
      </c>
      <c r="BA29" s="529">
        <f t="shared" si="40"/>
        <v>0</v>
      </c>
      <c r="BB29" s="529">
        <f t="shared" si="41"/>
        <v>0</v>
      </c>
      <c r="BC29" s="529">
        <f t="shared" si="42"/>
        <v>0</v>
      </c>
      <c r="BD29" s="531"/>
      <c r="BE29" s="527">
        <f>AH29*(IF(ISNA(VLOOKUP($N29,Veg_Parameters!$A$3:$N$65,5,FALSE)),0,(VLOOKUP($N29,Veg_Parameters!$A$3:$N$65,5,FALSE))))</f>
        <v>0</v>
      </c>
      <c r="BF29" s="527">
        <f>IF(ISNA(VLOOKUP($N29,Veg_Parameters!$A$3:$N$65,4,FALSE)),0,(VLOOKUP($N29,Veg_Parameters!$A$3:$N$65,4,FALSE)))</f>
        <v>0</v>
      </c>
      <c r="BG29" s="527">
        <f>AH29*(IF(ISNA(VLOOKUP($N29,Veg_Parameters!$A$3:$N$65,7,FALSE)),0, (VLOOKUP($N29,Veg_Parameters!$A$3:$N$65,7,FALSE))))</f>
        <v>0</v>
      </c>
      <c r="BH29" s="527">
        <f>IF(ISNA(VLOOKUP($N29,Veg_Parameters!$A$3:$N$65,6,FALSE)), 0, (VLOOKUP($N29,Veg_Parameters!$A$3:$N$65,6,FALSE)))</f>
        <v>0</v>
      </c>
      <c r="BI29" s="529">
        <f t="shared" si="43"/>
        <v>20</v>
      </c>
      <c r="BJ29" s="529">
        <f t="shared" si="44"/>
        <v>0</v>
      </c>
      <c r="BK29" s="529">
        <f t="shared" si="45"/>
        <v>0</v>
      </c>
      <c r="BL29" s="530">
        <f t="shared" si="46"/>
        <v>0</v>
      </c>
      <c r="BM29" s="527" t="s">
        <v>3</v>
      </c>
      <c r="BN29" s="527">
        <f>IF(ISNA(VLOOKUP(N29,Veg_Parameters!$A$3:$N$65,8,FALSE)), 0, (VLOOKUP($N29,Veg_Parameters!$A$3:$N$65,8,FALSE)))</f>
        <v>0</v>
      </c>
      <c r="BO29" s="527">
        <f>AH29*(IF(ISNA(VLOOKUP($N29,Veg_Parameters!$A$3:$N$65,9,FALSE)), 0, (VLOOKUP($N29,Veg_Parameters!$A$3:$N$65,9,FALSE))))</f>
        <v>0</v>
      </c>
      <c r="BP29" s="527" t="str">
        <f>IF(ISBLANK(N29),"0",VLOOKUP($N29,Veg_Parameters!$A$4:$U$65,21,))</f>
        <v>0</v>
      </c>
      <c r="BQ29" s="529">
        <f t="shared" si="47"/>
        <v>0</v>
      </c>
      <c r="BR29" s="529">
        <f t="shared" si="48"/>
        <v>0</v>
      </c>
      <c r="BS29" s="529">
        <f t="shared" si="49"/>
        <v>0</v>
      </c>
      <c r="BT29" s="529">
        <f t="shared" si="50"/>
        <v>0</v>
      </c>
      <c r="BU29" s="529">
        <f t="shared" si="51"/>
        <v>0</v>
      </c>
      <c r="BV29" s="529">
        <f t="shared" si="52"/>
        <v>0</v>
      </c>
      <c r="BW29" s="532" t="str">
        <f t="shared" si="53"/>
        <v/>
      </c>
      <c r="BX29" s="532" t="str">
        <f t="shared" si="54"/>
        <v/>
      </c>
      <c r="BY29" s="532" t="str">
        <f t="shared" si="55"/>
        <v/>
      </c>
      <c r="BZ29" s="532" t="str">
        <f t="shared" si="56"/>
        <v/>
      </c>
      <c r="CA29" s="532">
        <f t="shared" si="57"/>
        <v>0</v>
      </c>
      <c r="CB29" s="533"/>
      <c r="CC29" s="624">
        <f t="shared" si="58"/>
        <v>0</v>
      </c>
      <c r="CD29" s="534">
        <f t="shared" si="59"/>
        <v>0</v>
      </c>
      <c r="CE29" s="534">
        <f t="shared" si="60"/>
        <v>0</v>
      </c>
      <c r="CF29" s="534">
        <f t="shared" si="61"/>
        <v>0</v>
      </c>
      <c r="CG29" s="534"/>
      <c r="CH29" s="534"/>
      <c r="CI29" s="534">
        <f t="shared" si="62"/>
        <v>0</v>
      </c>
      <c r="CL29" s="534">
        <f>IF(ISNA(VLOOKUP(I29,Veg_Parameters!$A$3:$N$65,13,FALSE)),0,(VLOOKUP(I29,Veg_Parameters!$A$3:$N$65,13,FALSE)))</f>
        <v>0</v>
      </c>
      <c r="CM29" s="534">
        <f t="shared" si="63"/>
        <v>0</v>
      </c>
      <c r="CN29" s="534">
        <f>IF(ISNA(VLOOKUP(N29,Veg_Parameters!$A$3:$N$65,13,FALSE)),0,(VLOOKUP(N29,Veg_Parameters!$A$3:$N$65,13,FALSE)))</f>
        <v>0</v>
      </c>
      <c r="CO29" s="523">
        <f t="shared" si="64"/>
        <v>0</v>
      </c>
    </row>
    <row r="30" spans="1:93" x14ac:dyDescent="0.2">
      <c r="A30" s="227"/>
      <c r="B30" s="171" t="str">
        <f t="shared" si="65"/>
        <v/>
      </c>
      <c r="C30" s="230"/>
      <c r="D30" s="169"/>
      <c r="E30" s="165"/>
      <c r="F30" s="165"/>
      <c r="G30" s="165"/>
      <c r="H30" s="165"/>
      <c r="I30" s="168"/>
      <c r="J30" s="167"/>
      <c r="K30" s="168"/>
      <c r="L30" s="167"/>
      <c r="M30" s="167"/>
      <c r="N30" s="168"/>
      <c r="O30" s="168"/>
      <c r="P30" s="167"/>
      <c r="Q30" s="167"/>
      <c r="R30" s="167"/>
      <c r="S30" s="222" t="str">
        <f>IF(ISBLANK(A30),"",IF(ISNA(VLOOKUP(I30,Veg_Parameters!$A$3:$N$65,3,FALSE)),0,(VLOOKUP(I30,Veg_Parameters!$A$3:$N$65,3,FALSE))))</f>
        <v/>
      </c>
      <c r="T30" s="222" t="str">
        <f>IF(ISBLANK(N30),"",IF(ISNA(VLOOKUP(N30,Veg_Parameters!$A$3:$N$65,3,FALSE)),0,(VLOOKUP(N30,Veg_Parameters!$A$3:$N$65,3,FALSE))))</f>
        <v/>
      </c>
      <c r="U30" s="523">
        <f t="shared" si="24"/>
        <v>0</v>
      </c>
      <c r="V30" s="523">
        <f t="shared" si="25"/>
        <v>0</v>
      </c>
      <c r="W30" s="524">
        <f>IF(ISBLANK(A30),0,IF(ISNA(VLOOKUP($I30,Veg_Parameters!$A$3:$N$65,10,FALSE)),0,(VLOOKUP($I30,Veg_Parameters!$A$3:$N$65,10,FALSE))))</f>
        <v>0</v>
      </c>
      <c r="X30" s="524">
        <f>IF(ISBLANK(A30),0,IF(ISNA(VLOOKUP($I30,Veg_Parameters!$A$3:$N$65,11,FALSE)),0,(VLOOKUP($I30,Veg_Parameters!$A$3:$N$65,11,FALSE))))</f>
        <v>0</v>
      </c>
      <c r="Y30" s="524">
        <f>IF(ISBLANK(A30),0,IF(ISNA(VLOOKUP($I30,Veg_Parameters!$A$3:$N$65,12,FALSE)),0,(VLOOKUP($I30,Veg_Parameters!$A$3:$N$65,12,FALSE))))</f>
        <v>0</v>
      </c>
      <c r="Z30" s="525">
        <f t="shared" si="1"/>
        <v>0</v>
      </c>
      <c r="AA30" s="525">
        <f t="shared" si="26"/>
        <v>0</v>
      </c>
      <c r="AB30" s="525">
        <f t="shared" si="27"/>
        <v>0</v>
      </c>
      <c r="AC30" s="524">
        <f>IF(ISBLANK(N30),0,IF(ISNA(VLOOKUP($N30,Veg_Parameters!$A$3:$N$65,10,FALSE)),0,(VLOOKUP($N30,Veg_Parameters!$A$3:$N$65,10,FALSE))))</f>
        <v>0</v>
      </c>
      <c r="AD30" s="524">
        <f>IF(ISBLANK(N30),0,IF(ISNA(VLOOKUP($N30,Veg_Parameters!$A$3:$N$65,11,FALSE)),0,(VLOOKUP($N30,Veg_Parameters!$A$3:$N$65,11,FALSE))))</f>
        <v>0</v>
      </c>
      <c r="AE30" s="524">
        <f>IF(ISBLANK(N30), 0, IF(ISNA(VLOOKUP($N30,Veg_Parameters!$A$3:$N$65,12,FALSE)),0,(VLOOKUP($N30,Veg_Parameters!$A$3:$N$65,12,FALSE))))</f>
        <v>0</v>
      </c>
      <c r="AF30" s="523">
        <f t="shared" si="28"/>
        <v>0</v>
      </c>
      <c r="AG30" s="523">
        <f t="shared" si="29"/>
        <v>0</v>
      </c>
      <c r="AH30" s="523">
        <f t="shared" si="30"/>
        <v>0</v>
      </c>
      <c r="AI30" s="526"/>
      <c r="AJ30" s="527">
        <f>AB30*(IF(ISNA(VLOOKUP($I30,Veg_Parameters!$A$3:$N$65,5,FALSE)),0,(VLOOKUP($I30,Veg_Parameters!$A$3:$N$65,5,FALSE))))</f>
        <v>0</v>
      </c>
      <c r="AK30" s="527">
        <f>IF(ISNA(VLOOKUP($I30,Veg_Parameters!$A$3:$N$65,4,FALSE)),0,(VLOOKUP($I30,Veg_Parameters!$A$3:$N$65,4,FALSE)))</f>
        <v>0</v>
      </c>
      <c r="AL30" s="527">
        <f>AB30*(IF(ISNA(VLOOKUP($I30,Veg_Parameters!$A$3:$N$65,7,FALSE)),0, (VLOOKUP($I30,Veg_Parameters!$A$3:$N$65,7,FALSE))))</f>
        <v>0</v>
      </c>
      <c r="AM30" s="528">
        <f>IF(ISNA(VLOOKUP($I30,Veg_Parameters!$A$3:$N$65,6,FALSE)), 0, (VLOOKUP($I30,Veg_Parameters!$A$3:$N$65,6,FALSE)))</f>
        <v>0</v>
      </c>
      <c r="AN30" s="529">
        <f t="shared" si="31"/>
        <v>20</v>
      </c>
      <c r="AO30" s="529">
        <f t="shared" si="32"/>
        <v>0</v>
      </c>
      <c r="AP30" s="529">
        <f t="shared" si="33"/>
        <v>0</v>
      </c>
      <c r="AQ30" s="530">
        <f t="shared" si="34"/>
        <v>0</v>
      </c>
      <c r="AR30" s="527" t="s">
        <v>3</v>
      </c>
      <c r="AS30" s="527">
        <f>IF(ISNA(VLOOKUP($I30,Veg_Parameters!$A$3:$N$65,8,FALSE)), 0, (VLOOKUP($I30,Veg_Parameters!$A$3:$N$65,8,FALSE)))</f>
        <v>0</v>
      </c>
      <c r="AT30" s="527">
        <f>AB30*(IF(ISNA(VLOOKUP($I30,Veg_Parameters!$A$3:$N$65,9,FALSE)), 0, (VLOOKUP($I30,Veg_Parameters!$A$3:$N$65,9,FALSE))))</f>
        <v>0</v>
      </c>
      <c r="AU30" s="527">
        <f>IF(ISBLANK(A30),0,VLOOKUP($I30,Veg_Parameters!$A$4:$U$65,21,))</f>
        <v>0</v>
      </c>
      <c r="AV30" s="527">
        <f t="shared" si="35"/>
        <v>0</v>
      </c>
      <c r="AW30" s="529">
        <f t="shared" si="36"/>
        <v>0</v>
      </c>
      <c r="AX30" s="529">
        <f t="shared" si="37"/>
        <v>0</v>
      </c>
      <c r="AY30" s="529">
        <f t="shared" si="38"/>
        <v>0</v>
      </c>
      <c r="AZ30" s="529">
        <f t="shared" si="39"/>
        <v>0</v>
      </c>
      <c r="BA30" s="529">
        <f t="shared" si="40"/>
        <v>0</v>
      </c>
      <c r="BB30" s="529">
        <f t="shared" si="41"/>
        <v>0</v>
      </c>
      <c r="BC30" s="529">
        <f t="shared" si="42"/>
        <v>0</v>
      </c>
      <c r="BD30" s="531"/>
      <c r="BE30" s="527">
        <f>AH30*(IF(ISNA(VLOOKUP($N30,Veg_Parameters!$A$3:$N$65,5,FALSE)),0,(VLOOKUP($N30,Veg_Parameters!$A$3:$N$65,5,FALSE))))</f>
        <v>0</v>
      </c>
      <c r="BF30" s="527">
        <f>IF(ISNA(VLOOKUP($N30,Veg_Parameters!$A$3:$N$65,4,FALSE)),0,(VLOOKUP($N30,Veg_Parameters!$A$3:$N$65,4,FALSE)))</f>
        <v>0</v>
      </c>
      <c r="BG30" s="527">
        <f>AH30*(IF(ISNA(VLOOKUP($N30,Veg_Parameters!$A$3:$N$65,7,FALSE)),0, (VLOOKUP($N30,Veg_Parameters!$A$3:$N$65,7,FALSE))))</f>
        <v>0</v>
      </c>
      <c r="BH30" s="527">
        <f>IF(ISNA(VLOOKUP($N30,Veg_Parameters!$A$3:$N$65,6,FALSE)), 0, (VLOOKUP($N30,Veg_Parameters!$A$3:$N$65,6,FALSE)))</f>
        <v>0</v>
      </c>
      <c r="BI30" s="529">
        <f t="shared" si="43"/>
        <v>20</v>
      </c>
      <c r="BJ30" s="529">
        <f t="shared" si="44"/>
        <v>0</v>
      </c>
      <c r="BK30" s="529">
        <f t="shared" si="45"/>
        <v>0</v>
      </c>
      <c r="BL30" s="530">
        <f t="shared" si="46"/>
        <v>0</v>
      </c>
      <c r="BM30" s="527" t="s">
        <v>3</v>
      </c>
      <c r="BN30" s="527">
        <f>IF(ISNA(VLOOKUP(N30,Veg_Parameters!$A$3:$N$65,8,FALSE)), 0, (VLOOKUP($N30,Veg_Parameters!$A$3:$N$65,8,FALSE)))</f>
        <v>0</v>
      </c>
      <c r="BO30" s="527">
        <f>AH30*(IF(ISNA(VLOOKUP($N30,Veg_Parameters!$A$3:$N$65,9,FALSE)), 0, (VLOOKUP($N30,Veg_Parameters!$A$3:$N$65,9,FALSE))))</f>
        <v>0</v>
      </c>
      <c r="BP30" s="527" t="str">
        <f>IF(ISBLANK(N30),"0",VLOOKUP($N30,Veg_Parameters!$A$4:$U$65,21,))</f>
        <v>0</v>
      </c>
      <c r="BQ30" s="529">
        <f t="shared" si="47"/>
        <v>0</v>
      </c>
      <c r="BR30" s="529">
        <f t="shared" si="48"/>
        <v>0</v>
      </c>
      <c r="BS30" s="529">
        <f t="shared" si="49"/>
        <v>0</v>
      </c>
      <c r="BT30" s="529">
        <f t="shared" si="50"/>
        <v>0</v>
      </c>
      <c r="BU30" s="529">
        <f t="shared" si="51"/>
        <v>0</v>
      </c>
      <c r="BV30" s="529">
        <f t="shared" si="52"/>
        <v>0</v>
      </c>
      <c r="BW30" s="532" t="str">
        <f t="shared" si="53"/>
        <v/>
      </c>
      <c r="BX30" s="532" t="str">
        <f t="shared" si="54"/>
        <v/>
      </c>
      <c r="BY30" s="532" t="str">
        <f t="shared" si="55"/>
        <v/>
      </c>
      <c r="BZ30" s="532" t="str">
        <f t="shared" si="56"/>
        <v/>
      </c>
      <c r="CA30" s="532">
        <f t="shared" si="57"/>
        <v>0</v>
      </c>
      <c r="CB30" s="533"/>
      <c r="CC30" s="624">
        <f t="shared" si="58"/>
        <v>0</v>
      </c>
      <c r="CD30" s="534">
        <f t="shared" si="59"/>
        <v>0</v>
      </c>
      <c r="CE30" s="534">
        <f t="shared" si="60"/>
        <v>0</v>
      </c>
      <c r="CF30" s="534">
        <f t="shared" si="61"/>
        <v>0</v>
      </c>
      <c r="CG30" s="534"/>
      <c r="CH30" s="534"/>
      <c r="CI30" s="534">
        <f t="shared" si="62"/>
        <v>0</v>
      </c>
      <c r="CL30" s="534">
        <f>IF(ISNA(VLOOKUP(I30,Veg_Parameters!$A$3:$N$65,13,FALSE)),0,(VLOOKUP(I30,Veg_Parameters!$A$3:$N$65,13,FALSE)))</f>
        <v>0</v>
      </c>
      <c r="CM30" s="534">
        <f t="shared" si="63"/>
        <v>0</v>
      </c>
      <c r="CN30" s="534">
        <f>IF(ISNA(VLOOKUP(N30,Veg_Parameters!$A$3:$N$65,13,FALSE)),0,(VLOOKUP(N30,Veg_Parameters!$A$3:$N$65,13,FALSE)))</f>
        <v>0</v>
      </c>
      <c r="CO30" s="523">
        <f t="shared" si="64"/>
        <v>0</v>
      </c>
    </row>
    <row r="31" spans="1:93" x14ac:dyDescent="0.2">
      <c r="A31" s="227"/>
      <c r="B31" s="171" t="str">
        <f t="shared" si="65"/>
        <v/>
      </c>
      <c r="C31" s="230"/>
      <c r="D31" s="169"/>
      <c r="E31" s="165"/>
      <c r="F31" s="165"/>
      <c r="G31" s="165"/>
      <c r="H31" s="165"/>
      <c r="I31" s="168"/>
      <c r="J31" s="167"/>
      <c r="K31" s="168"/>
      <c r="L31" s="167"/>
      <c r="M31" s="167"/>
      <c r="N31" s="168"/>
      <c r="O31" s="168"/>
      <c r="P31" s="167"/>
      <c r="Q31" s="167"/>
      <c r="R31" s="167"/>
      <c r="S31" s="222" t="str">
        <f>IF(ISBLANK(A31),"",IF(ISNA(VLOOKUP(I31,Veg_Parameters!$A$3:$N$65,3,FALSE)),0,(VLOOKUP(I31,Veg_Parameters!$A$3:$N$65,3,FALSE))))</f>
        <v/>
      </c>
      <c r="T31" s="222" t="str">
        <f>IF(ISBLANK(N31),"",IF(ISNA(VLOOKUP(N31,Veg_Parameters!$A$3:$N$65,3,FALSE)),0,(VLOOKUP(N31,Veg_Parameters!$A$3:$N$65,3,FALSE))))</f>
        <v/>
      </c>
      <c r="U31" s="523">
        <f t="shared" si="24"/>
        <v>0</v>
      </c>
      <c r="V31" s="523">
        <f t="shared" si="25"/>
        <v>0</v>
      </c>
      <c r="W31" s="524">
        <f>IF(ISBLANK(A31),0,IF(ISNA(VLOOKUP($I31,Veg_Parameters!$A$3:$N$65,10,FALSE)),0,(VLOOKUP($I31,Veg_Parameters!$A$3:$N$65,10,FALSE))))</f>
        <v>0</v>
      </c>
      <c r="X31" s="524">
        <f>IF(ISBLANK(A31),0,IF(ISNA(VLOOKUP($I31,Veg_Parameters!$A$3:$N$65,11,FALSE)),0,(VLOOKUP($I31,Veg_Parameters!$A$3:$N$65,11,FALSE))))</f>
        <v>0</v>
      </c>
      <c r="Y31" s="524">
        <f>IF(ISBLANK(A31),0,IF(ISNA(VLOOKUP($I31,Veg_Parameters!$A$3:$N$65,12,FALSE)),0,(VLOOKUP($I31,Veg_Parameters!$A$3:$N$65,12,FALSE))))</f>
        <v>0</v>
      </c>
      <c r="Z31" s="525">
        <f t="shared" si="1"/>
        <v>0</v>
      </c>
      <c r="AA31" s="525">
        <f t="shared" si="26"/>
        <v>0</v>
      </c>
      <c r="AB31" s="525">
        <f t="shared" si="27"/>
        <v>0</v>
      </c>
      <c r="AC31" s="524">
        <f>IF(ISBLANK(N31),0,IF(ISNA(VLOOKUP($N31,Veg_Parameters!$A$3:$N$65,10,FALSE)),0,(VLOOKUP($N31,Veg_Parameters!$A$3:$N$65,10,FALSE))))</f>
        <v>0</v>
      </c>
      <c r="AD31" s="524">
        <f>IF(ISBLANK(N31),0,IF(ISNA(VLOOKUP($N31,Veg_Parameters!$A$3:$N$65,11,FALSE)),0,(VLOOKUP($N31,Veg_Parameters!$A$3:$N$65,11,FALSE))))</f>
        <v>0</v>
      </c>
      <c r="AE31" s="524">
        <f>IF(ISBLANK(N31), 0, IF(ISNA(VLOOKUP($N31,Veg_Parameters!$A$3:$N$65,12,FALSE)),0,(VLOOKUP($N31,Veg_Parameters!$A$3:$N$65,12,FALSE))))</f>
        <v>0</v>
      </c>
      <c r="AF31" s="523">
        <f t="shared" si="28"/>
        <v>0</v>
      </c>
      <c r="AG31" s="523">
        <f t="shared" si="29"/>
        <v>0</v>
      </c>
      <c r="AH31" s="523">
        <f t="shared" si="30"/>
        <v>0</v>
      </c>
      <c r="AI31" s="526"/>
      <c r="AJ31" s="527">
        <f>AB31*(IF(ISNA(VLOOKUP($I31,Veg_Parameters!$A$3:$N$65,5,FALSE)),0,(VLOOKUP($I31,Veg_Parameters!$A$3:$N$65,5,FALSE))))</f>
        <v>0</v>
      </c>
      <c r="AK31" s="527">
        <f>IF(ISNA(VLOOKUP($I31,Veg_Parameters!$A$3:$N$65,4,FALSE)),0,(VLOOKUP($I31,Veg_Parameters!$A$3:$N$65,4,FALSE)))</f>
        <v>0</v>
      </c>
      <c r="AL31" s="527">
        <f>AB31*(IF(ISNA(VLOOKUP($I31,Veg_Parameters!$A$3:$N$65,7,FALSE)),0, (VLOOKUP($I31,Veg_Parameters!$A$3:$N$65,7,FALSE))))</f>
        <v>0</v>
      </c>
      <c r="AM31" s="528">
        <f>IF(ISNA(VLOOKUP($I31,Veg_Parameters!$A$3:$N$65,6,FALSE)), 0, (VLOOKUP($I31,Veg_Parameters!$A$3:$N$65,6,FALSE)))</f>
        <v>0</v>
      </c>
      <c r="AN31" s="529">
        <f t="shared" si="31"/>
        <v>20</v>
      </c>
      <c r="AO31" s="529">
        <f t="shared" si="32"/>
        <v>0</v>
      </c>
      <c r="AP31" s="529">
        <f t="shared" si="33"/>
        <v>0</v>
      </c>
      <c r="AQ31" s="530">
        <f t="shared" si="34"/>
        <v>0</v>
      </c>
      <c r="AR31" s="527" t="s">
        <v>3</v>
      </c>
      <c r="AS31" s="527">
        <f>IF(ISNA(VLOOKUP($I31,Veg_Parameters!$A$3:$N$65,8,FALSE)), 0, (VLOOKUP($I31,Veg_Parameters!$A$3:$N$65,8,FALSE)))</f>
        <v>0</v>
      </c>
      <c r="AT31" s="527">
        <f>AB31*(IF(ISNA(VLOOKUP($I31,Veg_Parameters!$A$3:$N$65,9,FALSE)), 0, (VLOOKUP($I31,Veg_Parameters!$A$3:$N$65,9,FALSE))))</f>
        <v>0</v>
      </c>
      <c r="AU31" s="527">
        <f>IF(ISBLANK(A31),0,VLOOKUP($I31,Veg_Parameters!$A$4:$U$65,21,))</f>
        <v>0</v>
      </c>
      <c r="AV31" s="527">
        <f t="shared" si="35"/>
        <v>0</v>
      </c>
      <c r="AW31" s="529">
        <f t="shared" si="36"/>
        <v>0</v>
      </c>
      <c r="AX31" s="529">
        <f t="shared" si="37"/>
        <v>0</v>
      </c>
      <c r="AY31" s="529">
        <f t="shared" si="38"/>
        <v>0</v>
      </c>
      <c r="AZ31" s="529">
        <f t="shared" si="39"/>
        <v>0</v>
      </c>
      <c r="BA31" s="529">
        <f t="shared" si="40"/>
        <v>0</v>
      </c>
      <c r="BB31" s="529">
        <f t="shared" si="41"/>
        <v>0</v>
      </c>
      <c r="BC31" s="529">
        <f t="shared" si="42"/>
        <v>0</v>
      </c>
      <c r="BD31" s="531"/>
      <c r="BE31" s="527">
        <f>AH31*(IF(ISNA(VLOOKUP($N31,Veg_Parameters!$A$3:$N$65,5,FALSE)),0,(VLOOKUP($N31,Veg_Parameters!$A$3:$N$65,5,FALSE))))</f>
        <v>0</v>
      </c>
      <c r="BF31" s="527">
        <f>IF(ISNA(VLOOKUP($N31,Veg_Parameters!$A$3:$N$65,4,FALSE)),0,(VLOOKUP($N31,Veg_Parameters!$A$3:$N$65,4,FALSE)))</f>
        <v>0</v>
      </c>
      <c r="BG31" s="527">
        <f>AH31*(IF(ISNA(VLOOKUP($N31,Veg_Parameters!$A$3:$N$65,7,FALSE)),0, (VLOOKUP($N31,Veg_Parameters!$A$3:$N$65,7,FALSE))))</f>
        <v>0</v>
      </c>
      <c r="BH31" s="527">
        <f>IF(ISNA(VLOOKUP($N31,Veg_Parameters!$A$3:$N$65,6,FALSE)), 0, (VLOOKUP($N31,Veg_Parameters!$A$3:$N$65,6,FALSE)))</f>
        <v>0</v>
      </c>
      <c r="BI31" s="529">
        <f t="shared" si="43"/>
        <v>20</v>
      </c>
      <c r="BJ31" s="529">
        <f t="shared" si="44"/>
        <v>0</v>
      </c>
      <c r="BK31" s="529">
        <f t="shared" si="45"/>
        <v>0</v>
      </c>
      <c r="BL31" s="530">
        <f t="shared" si="46"/>
        <v>0</v>
      </c>
      <c r="BM31" s="527" t="s">
        <v>3</v>
      </c>
      <c r="BN31" s="527">
        <f>IF(ISNA(VLOOKUP(N31,Veg_Parameters!$A$3:$N$65,8,FALSE)), 0, (VLOOKUP($N31,Veg_Parameters!$A$3:$N$65,8,FALSE)))</f>
        <v>0</v>
      </c>
      <c r="BO31" s="527">
        <f>AH31*(IF(ISNA(VLOOKUP($N31,Veg_Parameters!$A$3:$N$65,9,FALSE)), 0, (VLOOKUP($N31,Veg_Parameters!$A$3:$N$65,9,FALSE))))</f>
        <v>0</v>
      </c>
      <c r="BP31" s="527" t="str">
        <f>IF(ISBLANK(N31),"0",VLOOKUP($N31,Veg_Parameters!$A$4:$U$65,21,))</f>
        <v>0</v>
      </c>
      <c r="BQ31" s="529">
        <f t="shared" si="47"/>
        <v>0</v>
      </c>
      <c r="BR31" s="529">
        <f t="shared" si="48"/>
        <v>0</v>
      </c>
      <c r="BS31" s="529">
        <f t="shared" si="49"/>
        <v>0</v>
      </c>
      <c r="BT31" s="529">
        <f t="shared" si="50"/>
        <v>0</v>
      </c>
      <c r="BU31" s="529">
        <f t="shared" si="51"/>
        <v>0</v>
      </c>
      <c r="BV31" s="529">
        <f t="shared" si="52"/>
        <v>0</v>
      </c>
      <c r="BW31" s="532" t="str">
        <f t="shared" si="53"/>
        <v/>
      </c>
      <c r="BX31" s="532" t="str">
        <f t="shared" si="54"/>
        <v/>
      </c>
      <c r="BY31" s="532" t="str">
        <f t="shared" si="55"/>
        <v/>
      </c>
      <c r="BZ31" s="532" t="str">
        <f t="shared" si="56"/>
        <v/>
      </c>
      <c r="CA31" s="532">
        <f t="shared" si="57"/>
        <v>0</v>
      </c>
      <c r="CB31" s="533"/>
      <c r="CC31" s="624">
        <f t="shared" si="58"/>
        <v>0</v>
      </c>
      <c r="CD31" s="534">
        <f t="shared" si="59"/>
        <v>0</v>
      </c>
      <c r="CE31" s="534">
        <f t="shared" si="60"/>
        <v>0</v>
      </c>
      <c r="CF31" s="534">
        <f t="shared" si="61"/>
        <v>0</v>
      </c>
      <c r="CG31" s="534"/>
      <c r="CH31" s="534"/>
      <c r="CI31" s="534">
        <f t="shared" si="62"/>
        <v>0</v>
      </c>
      <c r="CL31" s="534">
        <f>IF(ISNA(VLOOKUP(I31,Veg_Parameters!$A$3:$N$65,13,FALSE)),0,(VLOOKUP(I31,Veg_Parameters!$A$3:$N$65,13,FALSE)))</f>
        <v>0</v>
      </c>
      <c r="CM31" s="534">
        <f t="shared" si="63"/>
        <v>0</v>
      </c>
      <c r="CN31" s="534">
        <f>IF(ISNA(VLOOKUP(N31,Veg_Parameters!$A$3:$N$65,13,FALSE)),0,(VLOOKUP(N31,Veg_Parameters!$A$3:$N$65,13,FALSE)))</f>
        <v>0</v>
      </c>
      <c r="CO31" s="523">
        <f t="shared" si="64"/>
        <v>0</v>
      </c>
    </row>
    <row r="32" spans="1:93" x14ac:dyDescent="0.2">
      <c r="A32" s="227"/>
      <c r="B32" s="171" t="str">
        <f t="shared" si="65"/>
        <v/>
      </c>
      <c r="C32" s="230"/>
      <c r="D32" s="169"/>
      <c r="E32" s="165"/>
      <c r="F32" s="165"/>
      <c r="G32" s="165"/>
      <c r="H32" s="165"/>
      <c r="I32" s="168"/>
      <c r="J32" s="167"/>
      <c r="K32" s="168"/>
      <c r="L32" s="167"/>
      <c r="M32" s="167"/>
      <c r="N32" s="168"/>
      <c r="O32" s="168"/>
      <c r="P32" s="167"/>
      <c r="Q32" s="167"/>
      <c r="R32" s="167"/>
      <c r="S32" s="222" t="str">
        <f>IF(ISBLANK(A32),"",IF(ISNA(VLOOKUP(I32,Veg_Parameters!$A$3:$N$65,3,FALSE)),0,(VLOOKUP(I32,Veg_Parameters!$A$3:$N$65,3,FALSE))))</f>
        <v/>
      </c>
      <c r="T32" s="222" t="str">
        <f>IF(ISBLANK(N32),"",IF(ISNA(VLOOKUP(N32,Veg_Parameters!$A$3:$N$65,3,FALSE)),0,(VLOOKUP(N32,Veg_Parameters!$A$3:$N$65,3,FALSE))))</f>
        <v/>
      </c>
      <c r="U32" s="523">
        <f t="shared" si="24"/>
        <v>0</v>
      </c>
      <c r="V32" s="523">
        <f t="shared" si="25"/>
        <v>0</v>
      </c>
      <c r="W32" s="524">
        <f>IF(ISBLANK(A32),0,IF(ISNA(VLOOKUP($I32,Veg_Parameters!$A$3:$N$65,10,FALSE)),0,(VLOOKUP($I32,Veg_Parameters!$A$3:$N$65,10,FALSE))))</f>
        <v>0</v>
      </c>
      <c r="X32" s="524">
        <f>IF(ISBLANK(A32),0,IF(ISNA(VLOOKUP($I32,Veg_Parameters!$A$3:$N$65,11,FALSE)),0,(VLOOKUP($I32,Veg_Parameters!$A$3:$N$65,11,FALSE))))</f>
        <v>0</v>
      </c>
      <c r="Y32" s="524">
        <f>IF(ISBLANK(A32),0,IF(ISNA(VLOOKUP($I32,Veg_Parameters!$A$3:$N$65,12,FALSE)),0,(VLOOKUP($I32,Veg_Parameters!$A$3:$N$65,12,FALSE))))</f>
        <v>0</v>
      </c>
      <c r="Z32" s="525">
        <f t="shared" si="1"/>
        <v>0</v>
      </c>
      <c r="AA32" s="525">
        <f t="shared" si="26"/>
        <v>0</v>
      </c>
      <c r="AB32" s="525">
        <f t="shared" si="27"/>
        <v>0</v>
      </c>
      <c r="AC32" s="524">
        <f>IF(ISBLANK(N32),0,IF(ISNA(VLOOKUP($N32,Veg_Parameters!$A$3:$N$65,10,FALSE)),0,(VLOOKUP($N32,Veg_Parameters!$A$3:$N$65,10,FALSE))))</f>
        <v>0</v>
      </c>
      <c r="AD32" s="524">
        <f>IF(ISBLANK(N32),0,IF(ISNA(VLOOKUP($N32,Veg_Parameters!$A$3:$N$65,11,FALSE)),0,(VLOOKUP($N32,Veg_Parameters!$A$3:$N$65,11,FALSE))))</f>
        <v>0</v>
      </c>
      <c r="AE32" s="524">
        <f>IF(ISBLANK(N32), 0, IF(ISNA(VLOOKUP($N32,Veg_Parameters!$A$3:$N$65,12,FALSE)),0,(VLOOKUP($N32,Veg_Parameters!$A$3:$N$65,12,FALSE))))</f>
        <v>0</v>
      </c>
      <c r="AF32" s="523">
        <f t="shared" si="28"/>
        <v>0</v>
      </c>
      <c r="AG32" s="523">
        <f t="shared" si="29"/>
        <v>0</v>
      </c>
      <c r="AH32" s="523">
        <f t="shared" si="30"/>
        <v>0</v>
      </c>
      <c r="AI32" s="526"/>
      <c r="AJ32" s="527">
        <f>AB32*(IF(ISNA(VLOOKUP($I32,Veg_Parameters!$A$3:$N$65,5,FALSE)),0,(VLOOKUP($I32,Veg_Parameters!$A$3:$N$65,5,FALSE))))</f>
        <v>0</v>
      </c>
      <c r="AK32" s="527">
        <f>IF(ISNA(VLOOKUP($I32,Veg_Parameters!$A$3:$N$65,4,FALSE)),0,(VLOOKUP($I32,Veg_Parameters!$A$3:$N$65,4,FALSE)))</f>
        <v>0</v>
      </c>
      <c r="AL32" s="527">
        <f>AB32*(IF(ISNA(VLOOKUP($I32,Veg_Parameters!$A$3:$N$65,7,FALSE)),0, (VLOOKUP($I32,Veg_Parameters!$A$3:$N$65,7,FALSE))))</f>
        <v>0</v>
      </c>
      <c r="AM32" s="528">
        <f>IF(ISNA(VLOOKUP($I32,Veg_Parameters!$A$3:$N$65,6,FALSE)), 0, (VLOOKUP($I32,Veg_Parameters!$A$3:$N$65,6,FALSE)))</f>
        <v>0</v>
      </c>
      <c r="AN32" s="529">
        <f t="shared" si="31"/>
        <v>20</v>
      </c>
      <c r="AO32" s="529">
        <f t="shared" si="32"/>
        <v>0</v>
      </c>
      <c r="AP32" s="529">
        <f t="shared" si="33"/>
        <v>0</v>
      </c>
      <c r="AQ32" s="530">
        <f t="shared" si="34"/>
        <v>0</v>
      </c>
      <c r="AR32" s="527" t="s">
        <v>3</v>
      </c>
      <c r="AS32" s="527">
        <f>IF(ISNA(VLOOKUP($I32,Veg_Parameters!$A$3:$N$65,8,FALSE)), 0, (VLOOKUP($I32,Veg_Parameters!$A$3:$N$65,8,FALSE)))</f>
        <v>0</v>
      </c>
      <c r="AT32" s="527">
        <f>AB32*(IF(ISNA(VLOOKUP($I32,Veg_Parameters!$A$3:$N$65,9,FALSE)), 0, (VLOOKUP($I32,Veg_Parameters!$A$3:$N$65,9,FALSE))))</f>
        <v>0</v>
      </c>
      <c r="AU32" s="527">
        <f>IF(ISBLANK(A32),0,VLOOKUP($I32,Veg_Parameters!$A$4:$U$65,21,))</f>
        <v>0</v>
      </c>
      <c r="AV32" s="527">
        <f t="shared" si="35"/>
        <v>0</v>
      </c>
      <c r="AW32" s="529">
        <f t="shared" si="36"/>
        <v>0</v>
      </c>
      <c r="AX32" s="529">
        <f t="shared" si="37"/>
        <v>0</v>
      </c>
      <c r="AY32" s="529">
        <f t="shared" si="38"/>
        <v>0</v>
      </c>
      <c r="AZ32" s="529">
        <f t="shared" si="39"/>
        <v>0</v>
      </c>
      <c r="BA32" s="529">
        <f t="shared" si="40"/>
        <v>0</v>
      </c>
      <c r="BB32" s="529">
        <f t="shared" si="41"/>
        <v>0</v>
      </c>
      <c r="BC32" s="529">
        <f t="shared" si="42"/>
        <v>0</v>
      </c>
      <c r="BD32" s="531"/>
      <c r="BE32" s="527">
        <f>AH32*(IF(ISNA(VLOOKUP($N32,Veg_Parameters!$A$3:$N$65,5,FALSE)),0,(VLOOKUP($N32,Veg_Parameters!$A$3:$N$65,5,FALSE))))</f>
        <v>0</v>
      </c>
      <c r="BF32" s="527">
        <f>IF(ISNA(VLOOKUP($N32,Veg_Parameters!$A$3:$N$65,4,FALSE)),0,(VLOOKUP($N32,Veg_Parameters!$A$3:$N$65,4,FALSE)))</f>
        <v>0</v>
      </c>
      <c r="BG32" s="527">
        <f>AH32*(IF(ISNA(VLOOKUP($N32,Veg_Parameters!$A$3:$N$65,7,FALSE)),0, (VLOOKUP($N32,Veg_Parameters!$A$3:$N$65,7,FALSE))))</f>
        <v>0</v>
      </c>
      <c r="BH32" s="527">
        <f>IF(ISNA(VLOOKUP($N32,Veg_Parameters!$A$3:$N$65,6,FALSE)), 0, (VLOOKUP($N32,Veg_Parameters!$A$3:$N$65,6,FALSE)))</f>
        <v>0</v>
      </c>
      <c r="BI32" s="529">
        <f t="shared" si="43"/>
        <v>20</v>
      </c>
      <c r="BJ32" s="529">
        <f t="shared" si="44"/>
        <v>0</v>
      </c>
      <c r="BK32" s="529">
        <f t="shared" si="45"/>
        <v>0</v>
      </c>
      <c r="BL32" s="530">
        <f t="shared" si="46"/>
        <v>0</v>
      </c>
      <c r="BM32" s="527" t="s">
        <v>3</v>
      </c>
      <c r="BN32" s="527">
        <f>IF(ISNA(VLOOKUP(N32,Veg_Parameters!$A$3:$N$65,8,FALSE)), 0, (VLOOKUP($N32,Veg_Parameters!$A$3:$N$65,8,FALSE)))</f>
        <v>0</v>
      </c>
      <c r="BO32" s="527">
        <f>AH32*(IF(ISNA(VLOOKUP($N32,Veg_Parameters!$A$3:$N$65,9,FALSE)), 0, (VLOOKUP($N32,Veg_Parameters!$A$3:$N$65,9,FALSE))))</f>
        <v>0</v>
      </c>
      <c r="BP32" s="527" t="str">
        <f>IF(ISBLANK(N32),"0",VLOOKUP($N32,Veg_Parameters!$A$4:$U$65,21,))</f>
        <v>0</v>
      </c>
      <c r="BQ32" s="529">
        <f t="shared" si="47"/>
        <v>0</v>
      </c>
      <c r="BR32" s="529">
        <f t="shared" si="48"/>
        <v>0</v>
      </c>
      <c r="BS32" s="529">
        <f t="shared" si="49"/>
        <v>0</v>
      </c>
      <c r="BT32" s="529">
        <f t="shared" si="50"/>
        <v>0</v>
      </c>
      <c r="BU32" s="529">
        <f t="shared" si="51"/>
        <v>0</v>
      </c>
      <c r="BV32" s="529">
        <f t="shared" si="52"/>
        <v>0</v>
      </c>
      <c r="BW32" s="532" t="str">
        <f t="shared" si="53"/>
        <v/>
      </c>
      <c r="BX32" s="532" t="str">
        <f t="shared" si="54"/>
        <v/>
      </c>
      <c r="BY32" s="532" t="str">
        <f t="shared" si="55"/>
        <v/>
      </c>
      <c r="BZ32" s="532" t="str">
        <f t="shared" si="56"/>
        <v/>
      </c>
      <c r="CA32" s="532">
        <f t="shared" si="57"/>
        <v>0</v>
      </c>
      <c r="CB32" s="533"/>
      <c r="CC32" s="624">
        <f t="shared" si="58"/>
        <v>0</v>
      </c>
      <c r="CD32" s="534">
        <f t="shared" si="59"/>
        <v>0</v>
      </c>
      <c r="CE32" s="534">
        <f t="shared" si="60"/>
        <v>0</v>
      </c>
      <c r="CF32" s="534">
        <f t="shared" si="61"/>
        <v>0</v>
      </c>
      <c r="CG32" s="534"/>
      <c r="CH32" s="534"/>
      <c r="CI32" s="534">
        <f t="shared" si="62"/>
        <v>0</v>
      </c>
      <c r="CL32" s="534">
        <f>IF(ISNA(VLOOKUP(I32,Veg_Parameters!$A$3:$N$65,13,FALSE)),0,(VLOOKUP(I32,Veg_Parameters!$A$3:$N$65,13,FALSE)))</f>
        <v>0</v>
      </c>
      <c r="CM32" s="534">
        <f t="shared" si="63"/>
        <v>0</v>
      </c>
      <c r="CN32" s="534">
        <f>IF(ISNA(VLOOKUP(N32,Veg_Parameters!$A$3:$N$65,13,FALSE)),0,(VLOOKUP(N32,Veg_Parameters!$A$3:$N$65,13,FALSE)))</f>
        <v>0</v>
      </c>
      <c r="CO32" s="523">
        <f t="shared" si="64"/>
        <v>0</v>
      </c>
    </row>
    <row r="33" spans="1:93" x14ac:dyDescent="0.2">
      <c r="A33" s="227"/>
      <c r="B33" s="171" t="str">
        <f t="shared" si="65"/>
        <v/>
      </c>
      <c r="C33" s="230"/>
      <c r="D33" s="169"/>
      <c r="E33" s="165"/>
      <c r="F33" s="165"/>
      <c r="G33" s="165"/>
      <c r="H33" s="165"/>
      <c r="I33" s="168"/>
      <c r="J33" s="167"/>
      <c r="K33" s="168"/>
      <c r="L33" s="167"/>
      <c r="M33" s="167"/>
      <c r="N33" s="168"/>
      <c r="O33" s="168"/>
      <c r="P33" s="167"/>
      <c r="Q33" s="167"/>
      <c r="R33" s="167"/>
      <c r="S33" s="222" t="str">
        <f>IF(ISBLANK(A33),"",IF(ISNA(VLOOKUP(I33,Veg_Parameters!$A$3:$N$65,3,FALSE)),0,(VLOOKUP(I33,Veg_Parameters!$A$3:$N$65,3,FALSE))))</f>
        <v/>
      </c>
      <c r="T33" s="222" t="str">
        <f>IF(ISBLANK(N33),"",IF(ISNA(VLOOKUP(N33,Veg_Parameters!$A$3:$N$65,3,FALSE)),0,(VLOOKUP(N33,Veg_Parameters!$A$3:$N$65,3,FALSE))))</f>
        <v/>
      </c>
      <c r="U33" s="523">
        <f t="shared" si="24"/>
        <v>0</v>
      </c>
      <c r="V33" s="523">
        <f t="shared" si="25"/>
        <v>0</v>
      </c>
      <c r="W33" s="524">
        <f>IF(ISBLANK(A33),0,IF(ISNA(VLOOKUP($I33,Veg_Parameters!$A$3:$N$65,10,FALSE)),0,(VLOOKUP($I33,Veg_Parameters!$A$3:$N$65,10,FALSE))))</f>
        <v>0</v>
      </c>
      <c r="X33" s="524">
        <f>IF(ISBLANK(A33),0,IF(ISNA(VLOOKUP($I33,Veg_Parameters!$A$3:$N$65,11,FALSE)),0,(VLOOKUP($I33,Veg_Parameters!$A$3:$N$65,11,FALSE))))</f>
        <v>0</v>
      </c>
      <c r="Y33" s="524">
        <f>IF(ISBLANK(A33),0,IF(ISNA(VLOOKUP($I33,Veg_Parameters!$A$3:$N$65,12,FALSE)),0,(VLOOKUP($I33,Veg_Parameters!$A$3:$N$65,12,FALSE))))</f>
        <v>0</v>
      </c>
      <c r="Z33" s="525">
        <f t="shared" si="1"/>
        <v>0</v>
      </c>
      <c r="AA33" s="525">
        <f t="shared" si="26"/>
        <v>0</v>
      </c>
      <c r="AB33" s="525">
        <f t="shared" si="27"/>
        <v>0</v>
      </c>
      <c r="AC33" s="524">
        <f>IF(ISBLANK(N33),0,IF(ISNA(VLOOKUP($N33,Veg_Parameters!$A$3:$N$65,10,FALSE)),0,(VLOOKUP($N33,Veg_Parameters!$A$3:$N$65,10,FALSE))))</f>
        <v>0</v>
      </c>
      <c r="AD33" s="524">
        <f>IF(ISBLANK(N33),0,IF(ISNA(VLOOKUP($N33,Veg_Parameters!$A$3:$N$65,11,FALSE)),0,(VLOOKUP($N33,Veg_Parameters!$A$3:$N$65,11,FALSE))))</f>
        <v>0</v>
      </c>
      <c r="AE33" s="524">
        <f>IF(ISBLANK(N33), 0, IF(ISNA(VLOOKUP($N33,Veg_Parameters!$A$3:$N$65,12,FALSE)),0,(VLOOKUP($N33,Veg_Parameters!$A$3:$N$65,12,FALSE))))</f>
        <v>0</v>
      </c>
      <c r="AF33" s="523">
        <f t="shared" si="28"/>
        <v>0</v>
      </c>
      <c r="AG33" s="523">
        <f t="shared" si="29"/>
        <v>0</v>
      </c>
      <c r="AH33" s="523">
        <f t="shared" si="30"/>
        <v>0</v>
      </c>
      <c r="AI33" s="526"/>
      <c r="AJ33" s="527">
        <f>AB33*(IF(ISNA(VLOOKUP($I33,Veg_Parameters!$A$3:$N$65,5,FALSE)),0,(VLOOKUP($I33,Veg_Parameters!$A$3:$N$65,5,FALSE))))</f>
        <v>0</v>
      </c>
      <c r="AK33" s="527">
        <f>IF(ISNA(VLOOKUP($I33,Veg_Parameters!$A$3:$N$65,4,FALSE)),0,(VLOOKUP($I33,Veg_Parameters!$A$3:$N$65,4,FALSE)))</f>
        <v>0</v>
      </c>
      <c r="AL33" s="527">
        <f>AB33*(IF(ISNA(VLOOKUP($I33,Veg_Parameters!$A$3:$N$65,7,FALSE)),0, (VLOOKUP($I33,Veg_Parameters!$A$3:$N$65,7,FALSE))))</f>
        <v>0</v>
      </c>
      <c r="AM33" s="528">
        <f>IF(ISNA(VLOOKUP($I33,Veg_Parameters!$A$3:$N$65,6,FALSE)), 0, (VLOOKUP($I33,Veg_Parameters!$A$3:$N$65,6,FALSE)))</f>
        <v>0</v>
      </c>
      <c r="AN33" s="529">
        <f t="shared" si="31"/>
        <v>20</v>
      </c>
      <c r="AO33" s="529">
        <f t="shared" si="32"/>
        <v>0</v>
      </c>
      <c r="AP33" s="529">
        <f t="shared" si="33"/>
        <v>0</v>
      </c>
      <c r="AQ33" s="530">
        <f t="shared" si="34"/>
        <v>0</v>
      </c>
      <c r="AR33" s="527" t="s">
        <v>3</v>
      </c>
      <c r="AS33" s="527">
        <f>IF(ISNA(VLOOKUP($I33,Veg_Parameters!$A$3:$N$65,8,FALSE)), 0, (VLOOKUP($I33,Veg_Parameters!$A$3:$N$65,8,FALSE)))</f>
        <v>0</v>
      </c>
      <c r="AT33" s="527">
        <f>AB33*(IF(ISNA(VLOOKUP($I33,Veg_Parameters!$A$3:$N$65,9,FALSE)), 0, (VLOOKUP($I33,Veg_Parameters!$A$3:$N$65,9,FALSE))))</f>
        <v>0</v>
      </c>
      <c r="AU33" s="527">
        <f>IF(ISBLANK(A33),0,VLOOKUP($I33,Veg_Parameters!$A$4:$U$65,21,))</f>
        <v>0</v>
      </c>
      <c r="AV33" s="527">
        <f t="shared" si="35"/>
        <v>0</v>
      </c>
      <c r="AW33" s="529">
        <f t="shared" si="36"/>
        <v>0</v>
      </c>
      <c r="AX33" s="529">
        <f t="shared" si="37"/>
        <v>0</v>
      </c>
      <c r="AY33" s="529">
        <f t="shared" si="38"/>
        <v>0</v>
      </c>
      <c r="AZ33" s="529">
        <f t="shared" si="39"/>
        <v>0</v>
      </c>
      <c r="BA33" s="529">
        <f t="shared" si="40"/>
        <v>0</v>
      </c>
      <c r="BB33" s="529">
        <f t="shared" si="41"/>
        <v>0</v>
      </c>
      <c r="BC33" s="529">
        <f t="shared" si="42"/>
        <v>0</v>
      </c>
      <c r="BD33" s="531"/>
      <c r="BE33" s="527">
        <f>AH33*(IF(ISNA(VLOOKUP($N33,Veg_Parameters!$A$3:$N$65,5,FALSE)),0,(VLOOKUP($N33,Veg_Parameters!$A$3:$N$65,5,FALSE))))</f>
        <v>0</v>
      </c>
      <c r="BF33" s="527">
        <f>IF(ISNA(VLOOKUP($N33,Veg_Parameters!$A$3:$N$65,4,FALSE)),0,(VLOOKUP($N33,Veg_Parameters!$A$3:$N$65,4,FALSE)))</f>
        <v>0</v>
      </c>
      <c r="BG33" s="527">
        <f>AH33*(IF(ISNA(VLOOKUP($N33,Veg_Parameters!$A$3:$N$65,7,FALSE)),0, (VLOOKUP($N33,Veg_Parameters!$A$3:$N$65,7,FALSE))))</f>
        <v>0</v>
      </c>
      <c r="BH33" s="527">
        <f>IF(ISNA(VLOOKUP($N33,Veg_Parameters!$A$3:$N$65,6,FALSE)), 0, (VLOOKUP($N33,Veg_Parameters!$A$3:$N$65,6,FALSE)))</f>
        <v>0</v>
      </c>
      <c r="BI33" s="529">
        <f t="shared" si="43"/>
        <v>20</v>
      </c>
      <c r="BJ33" s="529">
        <f t="shared" si="44"/>
        <v>0</v>
      </c>
      <c r="BK33" s="529">
        <f t="shared" si="45"/>
        <v>0</v>
      </c>
      <c r="BL33" s="530">
        <f t="shared" si="46"/>
        <v>0</v>
      </c>
      <c r="BM33" s="527" t="s">
        <v>3</v>
      </c>
      <c r="BN33" s="527">
        <f>IF(ISNA(VLOOKUP(N33,Veg_Parameters!$A$3:$N$65,8,FALSE)), 0, (VLOOKUP($N33,Veg_Parameters!$A$3:$N$65,8,FALSE)))</f>
        <v>0</v>
      </c>
      <c r="BO33" s="527">
        <f>AH33*(IF(ISNA(VLOOKUP($N33,Veg_Parameters!$A$3:$N$65,9,FALSE)), 0, (VLOOKUP($N33,Veg_Parameters!$A$3:$N$65,9,FALSE))))</f>
        <v>0</v>
      </c>
      <c r="BP33" s="527" t="str">
        <f>IF(ISBLANK(N33),"0",VLOOKUP($N33,Veg_Parameters!$A$4:$U$65,21,))</f>
        <v>0</v>
      </c>
      <c r="BQ33" s="529">
        <f t="shared" si="47"/>
        <v>0</v>
      </c>
      <c r="BR33" s="529">
        <f t="shared" si="48"/>
        <v>0</v>
      </c>
      <c r="BS33" s="529">
        <f t="shared" si="49"/>
        <v>0</v>
      </c>
      <c r="BT33" s="529">
        <f t="shared" si="50"/>
        <v>0</v>
      </c>
      <c r="BU33" s="529">
        <f t="shared" si="51"/>
        <v>0</v>
      </c>
      <c r="BV33" s="529">
        <f t="shared" si="52"/>
        <v>0</v>
      </c>
      <c r="BW33" s="532" t="str">
        <f t="shared" si="53"/>
        <v/>
      </c>
      <c r="BX33" s="532" t="str">
        <f t="shared" si="54"/>
        <v/>
      </c>
      <c r="BY33" s="532" t="str">
        <f t="shared" si="55"/>
        <v/>
      </c>
      <c r="BZ33" s="532" t="str">
        <f t="shared" si="56"/>
        <v/>
      </c>
      <c r="CA33" s="532">
        <f t="shared" si="57"/>
        <v>0</v>
      </c>
      <c r="CB33" s="533"/>
      <c r="CC33" s="624">
        <f t="shared" si="58"/>
        <v>0</v>
      </c>
      <c r="CD33" s="534">
        <f t="shared" si="59"/>
        <v>0</v>
      </c>
      <c r="CE33" s="534">
        <f t="shared" si="60"/>
        <v>0</v>
      </c>
      <c r="CF33" s="534">
        <f t="shared" si="61"/>
        <v>0</v>
      </c>
      <c r="CG33" s="534"/>
      <c r="CH33" s="534"/>
      <c r="CI33" s="534">
        <f t="shared" si="62"/>
        <v>0</v>
      </c>
      <c r="CL33" s="534">
        <f>IF(ISNA(VLOOKUP(I33,Veg_Parameters!$A$3:$N$65,13,FALSE)),0,(VLOOKUP(I33,Veg_Parameters!$A$3:$N$65,13,FALSE)))</f>
        <v>0</v>
      </c>
      <c r="CM33" s="534">
        <f t="shared" si="63"/>
        <v>0</v>
      </c>
      <c r="CN33" s="534">
        <f>IF(ISNA(VLOOKUP(N33,Veg_Parameters!$A$3:$N$65,13,FALSE)),0,(VLOOKUP(N33,Veg_Parameters!$A$3:$N$65,13,FALSE)))</f>
        <v>0</v>
      </c>
      <c r="CO33" s="523">
        <f t="shared" si="64"/>
        <v>0</v>
      </c>
    </row>
    <row r="34" spans="1:93" x14ac:dyDescent="0.2">
      <c r="A34" s="227"/>
      <c r="B34" s="171" t="str">
        <f t="shared" si="65"/>
        <v/>
      </c>
      <c r="C34" s="230"/>
      <c r="D34" s="169"/>
      <c r="E34" s="165"/>
      <c r="F34" s="165"/>
      <c r="G34" s="165"/>
      <c r="H34" s="165"/>
      <c r="I34" s="168"/>
      <c r="J34" s="167"/>
      <c r="K34" s="168"/>
      <c r="L34" s="167"/>
      <c r="M34" s="167"/>
      <c r="N34" s="168"/>
      <c r="O34" s="168"/>
      <c r="P34" s="167"/>
      <c r="Q34" s="167"/>
      <c r="R34" s="167"/>
      <c r="S34" s="222" t="str">
        <f>IF(ISBLANK(A34),"",IF(ISNA(VLOOKUP(I34,Veg_Parameters!$A$3:$N$65,3,FALSE)),0,(VLOOKUP(I34,Veg_Parameters!$A$3:$N$65,3,FALSE))))</f>
        <v/>
      </c>
      <c r="T34" s="222" t="str">
        <f>IF(ISBLANK(N34),"",IF(ISNA(VLOOKUP(N34,Veg_Parameters!$A$3:$N$65,3,FALSE)),0,(VLOOKUP(N34,Veg_Parameters!$A$3:$N$65,3,FALSE))))</f>
        <v/>
      </c>
      <c r="U34" s="523">
        <f t="shared" si="24"/>
        <v>0</v>
      </c>
      <c r="V34" s="523">
        <f t="shared" si="25"/>
        <v>0</v>
      </c>
      <c r="W34" s="524">
        <f>IF(ISBLANK(A34),0,IF(ISNA(VLOOKUP($I34,Veg_Parameters!$A$3:$N$65,10,FALSE)),0,(VLOOKUP($I34,Veg_Parameters!$A$3:$N$65,10,FALSE))))</f>
        <v>0</v>
      </c>
      <c r="X34" s="524">
        <f>IF(ISBLANK(A34),0,IF(ISNA(VLOOKUP($I34,Veg_Parameters!$A$3:$N$65,11,FALSE)),0,(VLOOKUP($I34,Veg_Parameters!$A$3:$N$65,11,FALSE))))</f>
        <v>0</v>
      </c>
      <c r="Y34" s="524">
        <f>IF(ISBLANK(A34),0,IF(ISNA(VLOOKUP($I34,Veg_Parameters!$A$3:$N$65,12,FALSE)),0,(VLOOKUP($I34,Veg_Parameters!$A$3:$N$65,12,FALSE))))</f>
        <v>0</v>
      </c>
      <c r="Z34" s="525">
        <f t="shared" si="1"/>
        <v>0</v>
      </c>
      <c r="AA34" s="525">
        <f t="shared" si="26"/>
        <v>0</v>
      </c>
      <c r="AB34" s="525">
        <f t="shared" si="27"/>
        <v>0</v>
      </c>
      <c r="AC34" s="524">
        <f>IF(ISBLANK(N34),0,IF(ISNA(VLOOKUP($N34,Veg_Parameters!$A$3:$N$65,10,FALSE)),0,(VLOOKUP($N34,Veg_Parameters!$A$3:$N$65,10,FALSE))))</f>
        <v>0</v>
      </c>
      <c r="AD34" s="524">
        <f>IF(ISBLANK(N34),0,IF(ISNA(VLOOKUP($N34,Veg_Parameters!$A$3:$N$65,11,FALSE)),0,(VLOOKUP($N34,Veg_Parameters!$A$3:$N$65,11,FALSE))))</f>
        <v>0</v>
      </c>
      <c r="AE34" s="524">
        <f>IF(ISBLANK(N34), 0, IF(ISNA(VLOOKUP($N34,Veg_Parameters!$A$3:$N$65,12,FALSE)),0,(VLOOKUP($N34,Veg_Parameters!$A$3:$N$65,12,FALSE))))</f>
        <v>0</v>
      </c>
      <c r="AF34" s="523">
        <f t="shared" si="28"/>
        <v>0</v>
      </c>
      <c r="AG34" s="523">
        <f t="shared" si="29"/>
        <v>0</v>
      </c>
      <c r="AH34" s="523">
        <f t="shared" si="30"/>
        <v>0</v>
      </c>
      <c r="AI34" s="526"/>
      <c r="AJ34" s="527">
        <f>AB34*(IF(ISNA(VLOOKUP($I34,Veg_Parameters!$A$3:$N$65,5,FALSE)),0,(VLOOKUP($I34,Veg_Parameters!$A$3:$N$65,5,FALSE))))</f>
        <v>0</v>
      </c>
      <c r="AK34" s="527">
        <f>IF(ISNA(VLOOKUP($I34,Veg_Parameters!$A$3:$N$65,4,FALSE)),0,(VLOOKUP($I34,Veg_Parameters!$A$3:$N$65,4,FALSE)))</f>
        <v>0</v>
      </c>
      <c r="AL34" s="527">
        <f>AB34*(IF(ISNA(VLOOKUP($I34,Veg_Parameters!$A$3:$N$65,7,FALSE)),0, (VLOOKUP($I34,Veg_Parameters!$A$3:$N$65,7,FALSE))))</f>
        <v>0</v>
      </c>
      <c r="AM34" s="528">
        <f>IF(ISNA(VLOOKUP($I34,Veg_Parameters!$A$3:$N$65,6,FALSE)), 0, (VLOOKUP($I34,Veg_Parameters!$A$3:$N$65,6,FALSE)))</f>
        <v>0</v>
      </c>
      <c r="AN34" s="529">
        <f t="shared" si="31"/>
        <v>20</v>
      </c>
      <c r="AO34" s="529">
        <f t="shared" si="32"/>
        <v>0</v>
      </c>
      <c r="AP34" s="529">
        <f t="shared" si="33"/>
        <v>0</v>
      </c>
      <c r="AQ34" s="530">
        <f t="shared" si="34"/>
        <v>0</v>
      </c>
      <c r="AR34" s="527" t="s">
        <v>3</v>
      </c>
      <c r="AS34" s="527">
        <f>IF(ISNA(VLOOKUP($I34,Veg_Parameters!$A$3:$N$65,8,FALSE)), 0, (VLOOKUP($I34,Veg_Parameters!$A$3:$N$65,8,FALSE)))</f>
        <v>0</v>
      </c>
      <c r="AT34" s="527">
        <f>AB34*(IF(ISNA(VLOOKUP($I34,Veg_Parameters!$A$3:$N$65,9,FALSE)), 0, (VLOOKUP($I34,Veg_Parameters!$A$3:$N$65,9,FALSE))))</f>
        <v>0</v>
      </c>
      <c r="AU34" s="527">
        <f>IF(ISBLANK(A34),0,VLOOKUP($I34,Veg_Parameters!$A$4:$U$65,21,))</f>
        <v>0</v>
      </c>
      <c r="AV34" s="527">
        <f t="shared" si="35"/>
        <v>0</v>
      </c>
      <c r="AW34" s="529">
        <f t="shared" si="36"/>
        <v>0</v>
      </c>
      <c r="AX34" s="529">
        <f t="shared" si="37"/>
        <v>0</v>
      </c>
      <c r="AY34" s="529">
        <f t="shared" si="38"/>
        <v>0</v>
      </c>
      <c r="AZ34" s="529">
        <f t="shared" si="39"/>
        <v>0</v>
      </c>
      <c r="BA34" s="529">
        <f t="shared" si="40"/>
        <v>0</v>
      </c>
      <c r="BB34" s="529">
        <f t="shared" si="41"/>
        <v>0</v>
      </c>
      <c r="BC34" s="529">
        <f t="shared" si="42"/>
        <v>0</v>
      </c>
      <c r="BD34" s="531"/>
      <c r="BE34" s="527">
        <f>AH34*(IF(ISNA(VLOOKUP($N34,Veg_Parameters!$A$3:$N$65,5,FALSE)),0,(VLOOKUP($N34,Veg_Parameters!$A$3:$N$65,5,FALSE))))</f>
        <v>0</v>
      </c>
      <c r="BF34" s="527">
        <f>IF(ISNA(VLOOKUP($N34,Veg_Parameters!$A$3:$N$65,4,FALSE)),0,(VLOOKUP($N34,Veg_Parameters!$A$3:$N$65,4,FALSE)))</f>
        <v>0</v>
      </c>
      <c r="BG34" s="527">
        <f>AH34*(IF(ISNA(VLOOKUP($N34,Veg_Parameters!$A$3:$N$65,7,FALSE)),0, (VLOOKUP($N34,Veg_Parameters!$A$3:$N$65,7,FALSE))))</f>
        <v>0</v>
      </c>
      <c r="BH34" s="527">
        <f>IF(ISNA(VLOOKUP($N34,Veg_Parameters!$A$3:$N$65,6,FALSE)), 0, (VLOOKUP($N34,Veg_Parameters!$A$3:$N$65,6,FALSE)))</f>
        <v>0</v>
      </c>
      <c r="BI34" s="529">
        <f t="shared" si="43"/>
        <v>20</v>
      </c>
      <c r="BJ34" s="529">
        <f t="shared" si="44"/>
        <v>0</v>
      </c>
      <c r="BK34" s="529">
        <f t="shared" si="45"/>
        <v>0</v>
      </c>
      <c r="BL34" s="530">
        <f t="shared" si="46"/>
        <v>0</v>
      </c>
      <c r="BM34" s="527" t="s">
        <v>3</v>
      </c>
      <c r="BN34" s="527">
        <f>IF(ISNA(VLOOKUP(N34,Veg_Parameters!$A$3:$N$65,8,FALSE)), 0, (VLOOKUP($N34,Veg_Parameters!$A$3:$N$65,8,FALSE)))</f>
        <v>0</v>
      </c>
      <c r="BO34" s="527">
        <f>AH34*(IF(ISNA(VLOOKUP($N34,Veg_Parameters!$A$3:$N$65,9,FALSE)), 0, (VLOOKUP($N34,Veg_Parameters!$A$3:$N$65,9,FALSE))))</f>
        <v>0</v>
      </c>
      <c r="BP34" s="527" t="str">
        <f>IF(ISBLANK(N34),"0",VLOOKUP($N34,Veg_Parameters!$A$4:$U$65,21,))</f>
        <v>0</v>
      </c>
      <c r="BQ34" s="529">
        <f t="shared" si="47"/>
        <v>0</v>
      </c>
      <c r="BR34" s="529">
        <f t="shared" si="48"/>
        <v>0</v>
      </c>
      <c r="BS34" s="529">
        <f t="shared" si="49"/>
        <v>0</v>
      </c>
      <c r="BT34" s="529">
        <f t="shared" si="50"/>
        <v>0</v>
      </c>
      <c r="BU34" s="529">
        <f t="shared" si="51"/>
        <v>0</v>
      </c>
      <c r="BV34" s="529">
        <f t="shared" si="52"/>
        <v>0</v>
      </c>
      <c r="BW34" s="532" t="str">
        <f t="shared" si="53"/>
        <v/>
      </c>
      <c r="BX34" s="532" t="str">
        <f t="shared" si="54"/>
        <v/>
      </c>
      <c r="BY34" s="532" t="str">
        <f t="shared" si="55"/>
        <v/>
      </c>
      <c r="BZ34" s="532" t="str">
        <f t="shared" si="56"/>
        <v/>
      </c>
      <c r="CA34" s="532">
        <f t="shared" si="57"/>
        <v>0</v>
      </c>
      <c r="CB34" s="533"/>
      <c r="CC34" s="624">
        <f t="shared" si="58"/>
        <v>0</v>
      </c>
      <c r="CD34" s="534">
        <f t="shared" si="59"/>
        <v>0</v>
      </c>
      <c r="CE34" s="534">
        <f t="shared" si="60"/>
        <v>0</v>
      </c>
      <c r="CF34" s="534">
        <f t="shared" si="61"/>
        <v>0</v>
      </c>
      <c r="CG34" s="534"/>
      <c r="CH34" s="534"/>
      <c r="CI34" s="534">
        <f t="shared" si="62"/>
        <v>0</v>
      </c>
      <c r="CL34" s="534">
        <f>IF(ISNA(VLOOKUP(I34,Veg_Parameters!$A$3:$N$65,13,FALSE)),0,(VLOOKUP(I34,Veg_Parameters!$A$3:$N$65,13,FALSE)))</f>
        <v>0</v>
      </c>
      <c r="CM34" s="534">
        <f t="shared" si="63"/>
        <v>0</v>
      </c>
      <c r="CN34" s="534">
        <f>IF(ISNA(VLOOKUP(N34,Veg_Parameters!$A$3:$N$65,13,FALSE)),0,(VLOOKUP(N34,Veg_Parameters!$A$3:$N$65,13,FALSE)))</f>
        <v>0</v>
      </c>
      <c r="CO34" s="523">
        <f t="shared" si="64"/>
        <v>0</v>
      </c>
    </row>
    <row r="35" spans="1:93" x14ac:dyDescent="0.2">
      <c r="A35" s="227"/>
      <c r="B35" s="171" t="str">
        <f t="shared" si="65"/>
        <v/>
      </c>
      <c r="C35" s="230"/>
      <c r="D35" s="169"/>
      <c r="E35" s="165"/>
      <c r="F35" s="165"/>
      <c r="G35" s="165"/>
      <c r="H35" s="165"/>
      <c r="I35" s="168"/>
      <c r="J35" s="167"/>
      <c r="K35" s="168"/>
      <c r="L35" s="167"/>
      <c r="M35" s="167"/>
      <c r="N35" s="168"/>
      <c r="O35" s="168"/>
      <c r="P35" s="167"/>
      <c r="Q35" s="167"/>
      <c r="R35" s="167"/>
      <c r="S35" s="222" t="str">
        <f>IF(ISBLANK(A35),"",IF(ISNA(VLOOKUP(I35,Veg_Parameters!$A$3:$N$65,3,FALSE)),0,(VLOOKUP(I35,Veg_Parameters!$A$3:$N$65,3,FALSE))))</f>
        <v/>
      </c>
      <c r="T35" s="222" t="str">
        <f>IF(ISBLANK(N35),"",IF(ISNA(VLOOKUP(N35,Veg_Parameters!$A$3:$N$65,3,FALSE)),0,(VLOOKUP(N35,Veg_Parameters!$A$3:$N$65,3,FALSE))))</f>
        <v/>
      </c>
      <c r="U35" s="523">
        <f t="shared" si="24"/>
        <v>0</v>
      </c>
      <c r="V35" s="523">
        <f t="shared" si="25"/>
        <v>0</v>
      </c>
      <c r="W35" s="524">
        <f>IF(ISBLANK(A35),0,IF(ISNA(VLOOKUP($I35,Veg_Parameters!$A$3:$N$65,10,FALSE)),0,(VLOOKUP($I35,Veg_Parameters!$A$3:$N$65,10,FALSE))))</f>
        <v>0</v>
      </c>
      <c r="X35" s="524">
        <f>IF(ISBLANK(A35),0,IF(ISNA(VLOOKUP($I35,Veg_Parameters!$A$3:$N$65,11,FALSE)),0,(VLOOKUP($I35,Veg_Parameters!$A$3:$N$65,11,FALSE))))</f>
        <v>0</v>
      </c>
      <c r="Y35" s="524">
        <f>IF(ISBLANK(A35),0,IF(ISNA(VLOOKUP($I35,Veg_Parameters!$A$3:$N$65,12,FALSE)),0,(VLOOKUP($I35,Veg_Parameters!$A$3:$N$65,12,FALSE))))</f>
        <v>0</v>
      </c>
      <c r="Z35" s="525">
        <f t="shared" si="1"/>
        <v>0</v>
      </c>
      <c r="AA35" s="525">
        <f t="shared" si="26"/>
        <v>0</v>
      </c>
      <c r="AB35" s="525">
        <f t="shared" si="27"/>
        <v>0</v>
      </c>
      <c r="AC35" s="524">
        <f>IF(ISBLANK(N35),0,IF(ISNA(VLOOKUP($N35,Veg_Parameters!$A$3:$N$65,10,FALSE)),0,(VLOOKUP($N35,Veg_Parameters!$A$3:$N$65,10,FALSE))))</f>
        <v>0</v>
      </c>
      <c r="AD35" s="524">
        <f>IF(ISBLANK(N35),0,IF(ISNA(VLOOKUP($N35,Veg_Parameters!$A$3:$N$65,11,FALSE)),0,(VLOOKUP($N35,Veg_Parameters!$A$3:$N$65,11,FALSE))))</f>
        <v>0</v>
      </c>
      <c r="AE35" s="524">
        <f>IF(ISBLANK(N35), 0, IF(ISNA(VLOOKUP($N35,Veg_Parameters!$A$3:$N$65,12,FALSE)),0,(VLOOKUP($N35,Veg_Parameters!$A$3:$N$65,12,FALSE))))</f>
        <v>0</v>
      </c>
      <c r="AF35" s="523">
        <f t="shared" si="28"/>
        <v>0</v>
      </c>
      <c r="AG35" s="523">
        <f t="shared" si="29"/>
        <v>0</v>
      </c>
      <c r="AH35" s="523">
        <f t="shared" si="30"/>
        <v>0</v>
      </c>
      <c r="AI35" s="526"/>
      <c r="AJ35" s="527">
        <f>AB35*(IF(ISNA(VLOOKUP($I35,Veg_Parameters!$A$3:$N$65,5,FALSE)),0,(VLOOKUP($I35,Veg_Parameters!$A$3:$N$65,5,FALSE))))</f>
        <v>0</v>
      </c>
      <c r="AK35" s="527">
        <f>IF(ISNA(VLOOKUP($I35,Veg_Parameters!$A$3:$N$65,4,FALSE)),0,(VLOOKUP($I35,Veg_Parameters!$A$3:$N$65,4,FALSE)))</f>
        <v>0</v>
      </c>
      <c r="AL35" s="527">
        <f>AB35*(IF(ISNA(VLOOKUP($I35,Veg_Parameters!$A$3:$N$65,7,FALSE)),0, (VLOOKUP($I35,Veg_Parameters!$A$3:$N$65,7,FALSE))))</f>
        <v>0</v>
      </c>
      <c r="AM35" s="528">
        <f>IF(ISNA(VLOOKUP($I35,Veg_Parameters!$A$3:$N$65,6,FALSE)), 0, (VLOOKUP($I35,Veg_Parameters!$A$3:$N$65,6,FALSE)))</f>
        <v>0</v>
      </c>
      <c r="AN35" s="529">
        <f t="shared" si="31"/>
        <v>20</v>
      </c>
      <c r="AO35" s="529">
        <f t="shared" si="32"/>
        <v>0</v>
      </c>
      <c r="AP35" s="529">
        <f t="shared" si="33"/>
        <v>0</v>
      </c>
      <c r="AQ35" s="530">
        <f t="shared" si="34"/>
        <v>0</v>
      </c>
      <c r="AR35" s="527" t="s">
        <v>3</v>
      </c>
      <c r="AS35" s="527">
        <f>IF(ISNA(VLOOKUP($I35,Veg_Parameters!$A$3:$N$65,8,FALSE)), 0, (VLOOKUP($I35,Veg_Parameters!$A$3:$N$65,8,FALSE)))</f>
        <v>0</v>
      </c>
      <c r="AT35" s="527">
        <f>AB35*(IF(ISNA(VLOOKUP($I35,Veg_Parameters!$A$3:$N$65,9,FALSE)), 0, (VLOOKUP($I35,Veg_Parameters!$A$3:$N$65,9,FALSE))))</f>
        <v>0</v>
      </c>
      <c r="AU35" s="527">
        <f>IF(ISBLANK(A35),0,VLOOKUP($I35,Veg_Parameters!$A$4:$U$65,21,))</f>
        <v>0</v>
      </c>
      <c r="AV35" s="527">
        <f t="shared" si="35"/>
        <v>0</v>
      </c>
      <c r="AW35" s="529">
        <f t="shared" si="36"/>
        <v>0</v>
      </c>
      <c r="AX35" s="529">
        <f t="shared" si="37"/>
        <v>0</v>
      </c>
      <c r="AY35" s="529">
        <f t="shared" si="38"/>
        <v>0</v>
      </c>
      <c r="AZ35" s="529">
        <f t="shared" si="39"/>
        <v>0</v>
      </c>
      <c r="BA35" s="529">
        <f t="shared" si="40"/>
        <v>0</v>
      </c>
      <c r="BB35" s="529">
        <f t="shared" si="41"/>
        <v>0</v>
      </c>
      <c r="BC35" s="529">
        <f t="shared" si="42"/>
        <v>0</v>
      </c>
      <c r="BD35" s="531"/>
      <c r="BE35" s="527">
        <f>AH35*(IF(ISNA(VLOOKUP($N35,Veg_Parameters!$A$3:$N$65,5,FALSE)),0,(VLOOKUP($N35,Veg_Parameters!$A$3:$N$65,5,FALSE))))</f>
        <v>0</v>
      </c>
      <c r="BF35" s="527">
        <f>IF(ISNA(VLOOKUP($N35,Veg_Parameters!$A$3:$N$65,4,FALSE)),0,(VLOOKUP($N35,Veg_Parameters!$A$3:$N$65,4,FALSE)))</f>
        <v>0</v>
      </c>
      <c r="BG35" s="527">
        <f>AH35*(IF(ISNA(VLOOKUP($N35,Veg_Parameters!$A$3:$N$65,7,FALSE)),0, (VLOOKUP($N35,Veg_Parameters!$A$3:$N$65,7,FALSE))))</f>
        <v>0</v>
      </c>
      <c r="BH35" s="527">
        <f>IF(ISNA(VLOOKUP($N35,Veg_Parameters!$A$3:$N$65,6,FALSE)), 0, (VLOOKUP($N35,Veg_Parameters!$A$3:$N$65,6,FALSE)))</f>
        <v>0</v>
      </c>
      <c r="BI35" s="529">
        <f t="shared" si="43"/>
        <v>20</v>
      </c>
      <c r="BJ35" s="529">
        <f t="shared" si="44"/>
        <v>0</v>
      </c>
      <c r="BK35" s="529">
        <f t="shared" si="45"/>
        <v>0</v>
      </c>
      <c r="BL35" s="530">
        <f t="shared" si="46"/>
        <v>0</v>
      </c>
      <c r="BM35" s="527" t="s">
        <v>3</v>
      </c>
      <c r="BN35" s="527">
        <f>IF(ISNA(VLOOKUP(N35,Veg_Parameters!$A$3:$N$65,8,FALSE)), 0, (VLOOKUP($N35,Veg_Parameters!$A$3:$N$65,8,FALSE)))</f>
        <v>0</v>
      </c>
      <c r="BO35" s="527">
        <f>AH35*(IF(ISNA(VLOOKUP($N35,Veg_Parameters!$A$3:$N$65,9,FALSE)), 0, (VLOOKUP($N35,Veg_Parameters!$A$3:$N$65,9,FALSE))))</f>
        <v>0</v>
      </c>
      <c r="BP35" s="527" t="str">
        <f>IF(ISBLANK(N35),"0",VLOOKUP($N35,Veg_Parameters!$A$4:$U$65,21,))</f>
        <v>0</v>
      </c>
      <c r="BQ35" s="529">
        <f t="shared" si="47"/>
        <v>0</v>
      </c>
      <c r="BR35" s="529">
        <f t="shared" si="48"/>
        <v>0</v>
      </c>
      <c r="BS35" s="529">
        <f t="shared" si="49"/>
        <v>0</v>
      </c>
      <c r="BT35" s="529">
        <f t="shared" si="50"/>
        <v>0</v>
      </c>
      <c r="BU35" s="529">
        <f t="shared" si="51"/>
        <v>0</v>
      </c>
      <c r="BV35" s="529">
        <f t="shared" si="52"/>
        <v>0</v>
      </c>
      <c r="BW35" s="532" t="str">
        <f t="shared" si="53"/>
        <v/>
      </c>
      <c r="BX35" s="532" t="str">
        <f t="shared" si="54"/>
        <v/>
      </c>
      <c r="BY35" s="532" t="str">
        <f t="shared" si="55"/>
        <v/>
      </c>
      <c r="BZ35" s="532" t="str">
        <f t="shared" si="56"/>
        <v/>
      </c>
      <c r="CA35" s="532">
        <f t="shared" si="57"/>
        <v>0</v>
      </c>
      <c r="CB35" s="533"/>
      <c r="CC35" s="624">
        <f t="shared" si="58"/>
        <v>0</v>
      </c>
      <c r="CD35" s="534">
        <f t="shared" si="59"/>
        <v>0</v>
      </c>
      <c r="CE35" s="534">
        <f t="shared" si="60"/>
        <v>0</v>
      </c>
      <c r="CF35" s="534">
        <f t="shared" si="61"/>
        <v>0</v>
      </c>
      <c r="CG35" s="534"/>
      <c r="CH35" s="534"/>
      <c r="CI35" s="534">
        <f t="shared" si="62"/>
        <v>0</v>
      </c>
      <c r="CL35" s="534">
        <f>IF(ISNA(VLOOKUP(I35,Veg_Parameters!$A$3:$N$65,13,FALSE)),0,(VLOOKUP(I35,Veg_Parameters!$A$3:$N$65,13,FALSE)))</f>
        <v>0</v>
      </c>
      <c r="CM35" s="534">
        <f t="shared" si="63"/>
        <v>0</v>
      </c>
      <c r="CN35" s="534">
        <f>IF(ISNA(VLOOKUP(N35,Veg_Parameters!$A$3:$N$65,13,FALSE)),0,(VLOOKUP(N35,Veg_Parameters!$A$3:$N$65,13,FALSE)))</f>
        <v>0</v>
      </c>
      <c r="CO35" s="523">
        <f t="shared" si="64"/>
        <v>0</v>
      </c>
    </row>
    <row r="36" spans="1:93" x14ac:dyDescent="0.2">
      <c r="A36" s="227"/>
      <c r="B36" s="171" t="str">
        <f t="shared" si="65"/>
        <v/>
      </c>
      <c r="C36" s="230"/>
      <c r="D36" s="169"/>
      <c r="E36" s="165"/>
      <c r="F36" s="165"/>
      <c r="G36" s="165"/>
      <c r="H36" s="165"/>
      <c r="I36" s="168"/>
      <c r="J36" s="167"/>
      <c r="K36" s="168"/>
      <c r="L36" s="167"/>
      <c r="M36" s="167"/>
      <c r="N36" s="168"/>
      <c r="O36" s="168"/>
      <c r="P36" s="167"/>
      <c r="Q36" s="167"/>
      <c r="R36" s="167"/>
      <c r="S36" s="222" t="str">
        <f>IF(ISBLANK(A36),"",IF(ISNA(VLOOKUP(I36,Veg_Parameters!$A$3:$N$65,3,FALSE)),0,(VLOOKUP(I36,Veg_Parameters!$A$3:$N$65,3,FALSE))))</f>
        <v/>
      </c>
      <c r="T36" s="222" t="str">
        <f>IF(ISBLANK(N36),"",IF(ISNA(VLOOKUP(N36,Veg_Parameters!$A$3:$N$65,3,FALSE)),0,(VLOOKUP(N36,Veg_Parameters!$A$3:$N$65,3,FALSE))))</f>
        <v/>
      </c>
      <c r="U36" s="523">
        <f t="shared" si="24"/>
        <v>0</v>
      </c>
      <c r="V36" s="523">
        <f t="shared" si="25"/>
        <v>0</v>
      </c>
      <c r="W36" s="524">
        <f>IF(ISBLANK(A36),0,IF(ISNA(VLOOKUP($I36,Veg_Parameters!$A$3:$N$65,10,FALSE)),0,(VLOOKUP($I36,Veg_Parameters!$A$3:$N$65,10,FALSE))))</f>
        <v>0</v>
      </c>
      <c r="X36" s="524">
        <f>IF(ISBLANK(A36),0,IF(ISNA(VLOOKUP($I36,Veg_Parameters!$A$3:$N$65,11,FALSE)),0,(VLOOKUP($I36,Veg_Parameters!$A$3:$N$65,11,FALSE))))</f>
        <v>0</v>
      </c>
      <c r="Y36" s="524">
        <f>IF(ISBLANK(A36),0,IF(ISNA(VLOOKUP($I36,Veg_Parameters!$A$3:$N$65,12,FALSE)),0,(VLOOKUP($I36,Veg_Parameters!$A$3:$N$65,12,FALSE))))</f>
        <v>0</v>
      </c>
      <c r="Z36" s="525">
        <f t="shared" si="1"/>
        <v>0</v>
      </c>
      <c r="AA36" s="525">
        <f t="shared" si="26"/>
        <v>0</v>
      </c>
      <c r="AB36" s="525">
        <f t="shared" si="27"/>
        <v>0</v>
      </c>
      <c r="AC36" s="524">
        <f>IF(ISBLANK(N36),0,IF(ISNA(VLOOKUP($N36,Veg_Parameters!$A$3:$N$65,10,FALSE)),0,(VLOOKUP($N36,Veg_Parameters!$A$3:$N$65,10,FALSE))))</f>
        <v>0</v>
      </c>
      <c r="AD36" s="524">
        <f>IF(ISBLANK(N36),0,IF(ISNA(VLOOKUP($N36,Veg_Parameters!$A$3:$N$65,11,FALSE)),0,(VLOOKUP($N36,Veg_Parameters!$A$3:$N$65,11,FALSE))))</f>
        <v>0</v>
      </c>
      <c r="AE36" s="524">
        <f>IF(ISBLANK(N36), 0, IF(ISNA(VLOOKUP($N36,Veg_Parameters!$A$3:$N$65,12,FALSE)),0,(VLOOKUP($N36,Veg_Parameters!$A$3:$N$65,12,FALSE))))</f>
        <v>0</v>
      </c>
      <c r="AF36" s="523">
        <f t="shared" si="28"/>
        <v>0</v>
      </c>
      <c r="AG36" s="523">
        <f t="shared" si="29"/>
        <v>0</v>
      </c>
      <c r="AH36" s="523">
        <f t="shared" si="30"/>
        <v>0</v>
      </c>
      <c r="AI36" s="526"/>
      <c r="AJ36" s="527">
        <f>AB36*(IF(ISNA(VLOOKUP($I36,Veg_Parameters!$A$3:$N$65,5,FALSE)),0,(VLOOKUP($I36,Veg_Parameters!$A$3:$N$65,5,FALSE))))</f>
        <v>0</v>
      </c>
      <c r="AK36" s="527">
        <f>IF(ISNA(VLOOKUP($I36,Veg_Parameters!$A$3:$N$65,4,FALSE)),0,(VLOOKUP($I36,Veg_Parameters!$A$3:$N$65,4,FALSE)))</f>
        <v>0</v>
      </c>
      <c r="AL36" s="527">
        <f>AB36*(IF(ISNA(VLOOKUP($I36,Veg_Parameters!$A$3:$N$65,7,FALSE)),0, (VLOOKUP($I36,Veg_Parameters!$A$3:$N$65,7,FALSE))))</f>
        <v>0</v>
      </c>
      <c r="AM36" s="528">
        <f>IF(ISNA(VLOOKUP($I36,Veg_Parameters!$A$3:$N$65,6,FALSE)), 0, (VLOOKUP($I36,Veg_Parameters!$A$3:$N$65,6,FALSE)))</f>
        <v>0</v>
      </c>
      <c r="AN36" s="529">
        <f t="shared" si="31"/>
        <v>20</v>
      </c>
      <c r="AO36" s="529">
        <f t="shared" si="32"/>
        <v>0</v>
      </c>
      <c r="AP36" s="529">
        <f t="shared" si="33"/>
        <v>0</v>
      </c>
      <c r="AQ36" s="530">
        <f t="shared" si="34"/>
        <v>0</v>
      </c>
      <c r="AR36" s="527" t="s">
        <v>3</v>
      </c>
      <c r="AS36" s="527">
        <f>IF(ISNA(VLOOKUP($I36,Veg_Parameters!$A$3:$N$65,8,FALSE)), 0, (VLOOKUP($I36,Veg_Parameters!$A$3:$N$65,8,FALSE)))</f>
        <v>0</v>
      </c>
      <c r="AT36" s="527">
        <f>AB36*(IF(ISNA(VLOOKUP($I36,Veg_Parameters!$A$3:$N$65,9,FALSE)), 0, (VLOOKUP($I36,Veg_Parameters!$A$3:$N$65,9,FALSE))))</f>
        <v>0</v>
      </c>
      <c r="AU36" s="527">
        <f>IF(ISBLANK(A36),0,VLOOKUP($I36,Veg_Parameters!$A$4:$U$65,21,))</f>
        <v>0</v>
      </c>
      <c r="AV36" s="527">
        <f t="shared" si="35"/>
        <v>0</v>
      </c>
      <c r="AW36" s="529">
        <f t="shared" si="36"/>
        <v>0</v>
      </c>
      <c r="AX36" s="529">
        <f t="shared" si="37"/>
        <v>0</v>
      </c>
      <c r="AY36" s="529">
        <f t="shared" si="38"/>
        <v>0</v>
      </c>
      <c r="AZ36" s="529">
        <f t="shared" si="39"/>
        <v>0</v>
      </c>
      <c r="BA36" s="529">
        <f t="shared" si="40"/>
        <v>0</v>
      </c>
      <c r="BB36" s="529">
        <f t="shared" si="41"/>
        <v>0</v>
      </c>
      <c r="BC36" s="529">
        <f t="shared" si="42"/>
        <v>0</v>
      </c>
      <c r="BD36" s="531"/>
      <c r="BE36" s="527">
        <f>AH36*(IF(ISNA(VLOOKUP($N36,Veg_Parameters!$A$3:$N$65,5,FALSE)),0,(VLOOKUP($N36,Veg_Parameters!$A$3:$N$65,5,FALSE))))</f>
        <v>0</v>
      </c>
      <c r="BF36" s="527">
        <f>IF(ISNA(VLOOKUP($N36,Veg_Parameters!$A$3:$N$65,4,FALSE)),0,(VLOOKUP($N36,Veg_Parameters!$A$3:$N$65,4,FALSE)))</f>
        <v>0</v>
      </c>
      <c r="BG36" s="527">
        <f>AH36*(IF(ISNA(VLOOKUP($N36,Veg_Parameters!$A$3:$N$65,7,FALSE)),0, (VLOOKUP($N36,Veg_Parameters!$A$3:$N$65,7,FALSE))))</f>
        <v>0</v>
      </c>
      <c r="BH36" s="527">
        <f>IF(ISNA(VLOOKUP($N36,Veg_Parameters!$A$3:$N$65,6,FALSE)), 0, (VLOOKUP($N36,Veg_Parameters!$A$3:$N$65,6,FALSE)))</f>
        <v>0</v>
      </c>
      <c r="BI36" s="529">
        <f t="shared" si="43"/>
        <v>20</v>
      </c>
      <c r="BJ36" s="529">
        <f t="shared" si="44"/>
        <v>0</v>
      </c>
      <c r="BK36" s="529">
        <f t="shared" si="45"/>
        <v>0</v>
      </c>
      <c r="BL36" s="530">
        <f t="shared" si="46"/>
        <v>0</v>
      </c>
      <c r="BM36" s="527" t="s">
        <v>3</v>
      </c>
      <c r="BN36" s="527">
        <f>IF(ISNA(VLOOKUP(N36,Veg_Parameters!$A$3:$N$65,8,FALSE)), 0, (VLOOKUP($N36,Veg_Parameters!$A$3:$N$65,8,FALSE)))</f>
        <v>0</v>
      </c>
      <c r="BO36" s="527">
        <f>AH36*(IF(ISNA(VLOOKUP($N36,Veg_Parameters!$A$3:$N$65,9,FALSE)), 0, (VLOOKUP($N36,Veg_Parameters!$A$3:$N$65,9,FALSE))))</f>
        <v>0</v>
      </c>
      <c r="BP36" s="527" t="str">
        <f>IF(ISBLANK(N36),"0",VLOOKUP($N36,Veg_Parameters!$A$4:$U$65,21,))</f>
        <v>0</v>
      </c>
      <c r="BQ36" s="529">
        <f t="shared" si="47"/>
        <v>0</v>
      </c>
      <c r="BR36" s="529">
        <f t="shared" si="48"/>
        <v>0</v>
      </c>
      <c r="BS36" s="529">
        <f t="shared" si="49"/>
        <v>0</v>
      </c>
      <c r="BT36" s="529">
        <f t="shared" si="50"/>
        <v>0</v>
      </c>
      <c r="BU36" s="529">
        <f t="shared" si="51"/>
        <v>0</v>
      </c>
      <c r="BV36" s="529">
        <f t="shared" si="52"/>
        <v>0</v>
      </c>
      <c r="BW36" s="532" t="str">
        <f t="shared" si="53"/>
        <v/>
      </c>
      <c r="BX36" s="532" t="str">
        <f t="shared" si="54"/>
        <v/>
      </c>
      <c r="BY36" s="532" t="str">
        <f t="shared" si="55"/>
        <v/>
      </c>
      <c r="BZ36" s="532" t="str">
        <f t="shared" si="56"/>
        <v/>
      </c>
      <c r="CA36" s="532">
        <f t="shared" si="57"/>
        <v>0</v>
      </c>
      <c r="CB36" s="533"/>
      <c r="CC36" s="624">
        <f t="shared" si="58"/>
        <v>0</v>
      </c>
      <c r="CD36" s="534">
        <f t="shared" si="59"/>
        <v>0</v>
      </c>
      <c r="CE36" s="534">
        <f t="shared" si="60"/>
        <v>0</v>
      </c>
      <c r="CF36" s="534">
        <f t="shared" si="61"/>
        <v>0</v>
      </c>
      <c r="CG36" s="534"/>
      <c r="CH36" s="534"/>
      <c r="CI36" s="534">
        <f t="shared" si="62"/>
        <v>0</v>
      </c>
      <c r="CL36" s="534">
        <f>IF(ISNA(VLOOKUP(I36,Veg_Parameters!$A$3:$N$65,13,FALSE)),0,(VLOOKUP(I36,Veg_Parameters!$A$3:$N$65,13,FALSE)))</f>
        <v>0</v>
      </c>
      <c r="CM36" s="534">
        <f t="shared" si="63"/>
        <v>0</v>
      </c>
      <c r="CN36" s="534">
        <f>IF(ISNA(VLOOKUP(N36,Veg_Parameters!$A$3:$N$65,13,FALSE)),0,(VLOOKUP(N36,Veg_Parameters!$A$3:$N$65,13,FALSE)))</f>
        <v>0</v>
      </c>
      <c r="CO36" s="523">
        <f t="shared" si="64"/>
        <v>0</v>
      </c>
    </row>
    <row r="37" spans="1:93" ht="13.5" thickBot="1" x14ac:dyDescent="0.25">
      <c r="A37" s="227"/>
      <c r="B37" s="171" t="str">
        <f t="shared" si="65"/>
        <v/>
      </c>
      <c r="C37" s="230"/>
      <c r="D37" s="169"/>
      <c r="E37" s="165"/>
      <c r="F37" s="165"/>
      <c r="G37" s="170"/>
      <c r="H37" s="165"/>
      <c r="I37" s="168"/>
      <c r="J37" s="167"/>
      <c r="K37" s="168"/>
      <c r="L37" s="167"/>
      <c r="M37" s="167"/>
      <c r="N37" s="168"/>
      <c r="O37" s="168"/>
      <c r="P37" s="167"/>
      <c r="Q37" s="167"/>
      <c r="R37" s="167"/>
      <c r="S37" s="222" t="str">
        <f>IF(ISBLANK(A37),"",IF(ISNA(VLOOKUP(I37,Veg_Parameters!$A$3:$N$65,3,FALSE)),0,(VLOOKUP(I37,Veg_Parameters!$A$3:$N$65,3,FALSE))))</f>
        <v/>
      </c>
      <c r="T37" s="222" t="str">
        <f>IF(ISBLANK(N37),"",IF(ISNA(VLOOKUP(N37,Veg_Parameters!$A$3:$N$65,3,FALSE)),0,(VLOOKUP(N37,Veg_Parameters!$A$3:$N$65,3,FALSE))))</f>
        <v/>
      </c>
      <c r="U37" s="523">
        <f t="shared" si="24"/>
        <v>0</v>
      </c>
      <c r="V37" s="523">
        <f t="shared" si="25"/>
        <v>0</v>
      </c>
      <c r="W37" s="524">
        <f>IF(ISBLANK(A37),0,IF(ISNA(VLOOKUP($I37,Veg_Parameters!$A$3:$N$65,10,FALSE)),0,(VLOOKUP($I37,Veg_Parameters!$A$3:$N$65,10,FALSE))))</f>
        <v>0</v>
      </c>
      <c r="X37" s="524">
        <f>IF(ISBLANK(A37),0,IF(ISNA(VLOOKUP($I37,Veg_Parameters!$A$3:$N$65,11,FALSE)),0,(VLOOKUP($I37,Veg_Parameters!$A$3:$N$65,11,FALSE))))</f>
        <v>0</v>
      </c>
      <c r="Y37" s="524">
        <f>IF(ISBLANK(A37),0,IF(ISNA(VLOOKUP($I37,Veg_Parameters!$A$3:$N$65,12,FALSE)),0,(VLOOKUP($I37,Veg_Parameters!$A$3:$N$65,12,FALSE))))</f>
        <v>0</v>
      </c>
      <c r="Z37" s="525">
        <f t="shared" si="1"/>
        <v>0</v>
      </c>
      <c r="AA37" s="525">
        <f t="shared" si="26"/>
        <v>0</v>
      </c>
      <c r="AB37" s="525">
        <f t="shared" si="27"/>
        <v>0</v>
      </c>
      <c r="AC37" s="524">
        <f>IF(ISBLANK(N37),0,IF(ISNA(VLOOKUP($N37,Veg_Parameters!$A$3:$N$65,10,FALSE)),0,(VLOOKUP($N37,Veg_Parameters!$A$3:$N$65,10,FALSE))))</f>
        <v>0</v>
      </c>
      <c r="AD37" s="524">
        <f>IF(ISBLANK(N37),0,IF(ISNA(VLOOKUP($N37,Veg_Parameters!$A$3:$N$65,11,FALSE)),0,(VLOOKUP($N37,Veg_Parameters!$A$3:$N$65,11,FALSE))))</f>
        <v>0</v>
      </c>
      <c r="AE37" s="524">
        <f>IF(ISBLANK(N37), 0, IF(ISNA(VLOOKUP($N37,Veg_Parameters!$A$3:$N$65,12,FALSE)),0,(VLOOKUP($N37,Veg_Parameters!$A$3:$N$65,12,FALSE))))</f>
        <v>0</v>
      </c>
      <c r="AF37" s="523">
        <f t="shared" si="28"/>
        <v>0</v>
      </c>
      <c r="AG37" s="523">
        <f t="shared" si="29"/>
        <v>0</v>
      </c>
      <c r="AH37" s="523">
        <f t="shared" si="30"/>
        <v>0</v>
      </c>
      <c r="AI37" s="526"/>
      <c r="AJ37" s="527">
        <f>AB37*(IF(ISNA(VLOOKUP($I37,Veg_Parameters!$A$3:$N$65,5,FALSE)),0,(VLOOKUP($I37,Veg_Parameters!$A$3:$N$65,5,FALSE))))</f>
        <v>0</v>
      </c>
      <c r="AK37" s="527">
        <f>IF(ISNA(VLOOKUP($I37,Veg_Parameters!$A$3:$N$65,4,FALSE)),0,(VLOOKUP($I37,Veg_Parameters!$A$3:$N$65,4,FALSE)))</f>
        <v>0</v>
      </c>
      <c r="AL37" s="527">
        <f>AB37*(IF(ISNA(VLOOKUP($I37,Veg_Parameters!$A$3:$N$65,7,FALSE)),0, (VLOOKUP($I37,Veg_Parameters!$A$3:$N$65,7,FALSE))))</f>
        <v>0</v>
      </c>
      <c r="AM37" s="528">
        <f>IF(ISNA(VLOOKUP($I37,Veg_Parameters!$A$3:$N$65,6,FALSE)), 0, (VLOOKUP($I37,Veg_Parameters!$A$3:$N$65,6,FALSE)))</f>
        <v>0</v>
      </c>
      <c r="AN37" s="529">
        <f t="shared" si="31"/>
        <v>20</v>
      </c>
      <c r="AO37" s="529">
        <f t="shared" si="32"/>
        <v>0</v>
      </c>
      <c r="AP37" s="529">
        <f t="shared" si="33"/>
        <v>0</v>
      </c>
      <c r="AQ37" s="530">
        <f t="shared" si="34"/>
        <v>0</v>
      </c>
      <c r="AR37" s="527" t="s">
        <v>3</v>
      </c>
      <c r="AS37" s="527">
        <f>IF(ISNA(VLOOKUP($I37,Veg_Parameters!$A$3:$N$65,8,FALSE)), 0, (VLOOKUP($I37,Veg_Parameters!$A$3:$N$65,8,FALSE)))</f>
        <v>0</v>
      </c>
      <c r="AT37" s="527">
        <f>AB37*(IF(ISNA(VLOOKUP($I37,Veg_Parameters!$A$3:$N$65,9,FALSE)), 0, (VLOOKUP($I37,Veg_Parameters!$A$3:$N$65,9,FALSE))))</f>
        <v>0</v>
      </c>
      <c r="AU37" s="527">
        <f>IF(ISBLANK(A37),0,VLOOKUP($I37,Veg_Parameters!$A$4:$U$65,21,))</f>
        <v>0</v>
      </c>
      <c r="AV37" s="527">
        <f t="shared" si="35"/>
        <v>0</v>
      </c>
      <c r="AW37" s="529">
        <f t="shared" si="36"/>
        <v>0</v>
      </c>
      <c r="AX37" s="529">
        <f t="shared" si="37"/>
        <v>0</v>
      </c>
      <c r="AY37" s="529">
        <f t="shared" si="38"/>
        <v>0</v>
      </c>
      <c r="AZ37" s="529">
        <f t="shared" si="39"/>
        <v>0</v>
      </c>
      <c r="BA37" s="529">
        <f t="shared" si="40"/>
        <v>0</v>
      </c>
      <c r="BB37" s="529">
        <f t="shared" si="41"/>
        <v>0</v>
      </c>
      <c r="BC37" s="529">
        <f t="shared" si="42"/>
        <v>0</v>
      </c>
      <c r="BD37" s="531"/>
      <c r="BE37" s="527">
        <f>AH37*(IF(ISNA(VLOOKUP($N37,Veg_Parameters!$A$3:$N$65,5,FALSE)),0,(VLOOKUP($N37,Veg_Parameters!$A$3:$N$65,5,FALSE))))</f>
        <v>0</v>
      </c>
      <c r="BF37" s="527">
        <f>IF(ISNA(VLOOKUP($N37,Veg_Parameters!$A$3:$N$65,4,FALSE)),0,(VLOOKUP($N37,Veg_Parameters!$A$3:$N$65,4,FALSE)))</f>
        <v>0</v>
      </c>
      <c r="BG37" s="527">
        <f>AH37*(IF(ISNA(VLOOKUP($N37,Veg_Parameters!$A$3:$N$65,7,FALSE)),0, (VLOOKUP($N37,Veg_Parameters!$A$3:$N$65,7,FALSE))))</f>
        <v>0</v>
      </c>
      <c r="BH37" s="527">
        <f>IF(ISNA(VLOOKUP($N37,Veg_Parameters!$A$3:$N$65,6,FALSE)), 0, (VLOOKUP($N37,Veg_Parameters!$A$3:$N$65,6,FALSE)))</f>
        <v>0</v>
      </c>
      <c r="BI37" s="529">
        <f t="shared" si="43"/>
        <v>20</v>
      </c>
      <c r="BJ37" s="529">
        <f t="shared" si="44"/>
        <v>0</v>
      </c>
      <c r="BK37" s="529">
        <f t="shared" si="45"/>
        <v>0</v>
      </c>
      <c r="BL37" s="530">
        <f t="shared" si="46"/>
        <v>0</v>
      </c>
      <c r="BM37" s="527" t="s">
        <v>3</v>
      </c>
      <c r="BN37" s="527">
        <f>IF(ISNA(VLOOKUP(N37,Veg_Parameters!$A$3:$N$65,8,FALSE)), 0, (VLOOKUP($N37,Veg_Parameters!$A$3:$N$65,8,FALSE)))</f>
        <v>0</v>
      </c>
      <c r="BO37" s="527">
        <f>AH37*(IF(ISNA(VLOOKUP($N37,Veg_Parameters!$A$3:$N$65,9,FALSE)), 0, (VLOOKUP($N37,Veg_Parameters!$A$3:$N$65,9,FALSE))))</f>
        <v>0</v>
      </c>
      <c r="BP37" s="527" t="str">
        <f>IF(ISBLANK(N37),"0",VLOOKUP($N37,Veg_Parameters!$A$4:$U$65,21,))</f>
        <v>0</v>
      </c>
      <c r="BQ37" s="529">
        <f t="shared" si="47"/>
        <v>0</v>
      </c>
      <c r="BR37" s="529">
        <f t="shared" si="48"/>
        <v>0</v>
      </c>
      <c r="BS37" s="529">
        <f t="shared" si="49"/>
        <v>0</v>
      </c>
      <c r="BT37" s="529">
        <f t="shared" si="50"/>
        <v>0</v>
      </c>
      <c r="BU37" s="529">
        <f t="shared" si="51"/>
        <v>0</v>
      </c>
      <c r="BV37" s="529">
        <f t="shared" si="52"/>
        <v>0</v>
      </c>
      <c r="BW37" s="532" t="str">
        <f t="shared" si="53"/>
        <v/>
      </c>
      <c r="BX37" s="532" t="str">
        <f t="shared" si="54"/>
        <v/>
      </c>
      <c r="BY37" s="532" t="str">
        <f t="shared" si="55"/>
        <v/>
      </c>
      <c r="BZ37" s="532" t="str">
        <f t="shared" si="56"/>
        <v/>
      </c>
      <c r="CA37" s="532">
        <f t="shared" si="57"/>
        <v>0</v>
      </c>
      <c r="CB37" s="533"/>
      <c r="CC37" s="624">
        <f t="shared" si="58"/>
        <v>0</v>
      </c>
      <c r="CD37" s="534">
        <f t="shared" si="59"/>
        <v>0</v>
      </c>
      <c r="CE37" s="534">
        <f t="shared" si="60"/>
        <v>0</v>
      </c>
      <c r="CF37" s="534">
        <f t="shared" si="61"/>
        <v>0</v>
      </c>
      <c r="CG37" s="534"/>
      <c r="CH37" s="534"/>
      <c r="CI37" s="534">
        <f t="shared" si="62"/>
        <v>0</v>
      </c>
      <c r="CL37" s="534">
        <f>IF(ISNA(VLOOKUP(I37,Veg_Parameters!$A$3:$N$65,13,FALSE)),0,(VLOOKUP(I37,Veg_Parameters!$A$3:$N$65,13,FALSE)))</f>
        <v>0</v>
      </c>
      <c r="CM37" s="534">
        <f t="shared" si="63"/>
        <v>0</v>
      </c>
      <c r="CN37" s="534">
        <f>IF(ISNA(VLOOKUP(N37,Veg_Parameters!$A$3:$N$65,13,FALSE)),0,(VLOOKUP(N37,Veg_Parameters!$A$3:$N$65,13,FALSE)))</f>
        <v>0</v>
      </c>
      <c r="CO37" s="523">
        <f t="shared" si="64"/>
        <v>0</v>
      </c>
    </row>
    <row r="38" spans="1:93" s="11" customFormat="1" ht="13.5" thickBot="1" x14ac:dyDescent="0.25">
      <c r="A38" s="611" t="s">
        <v>70</v>
      </c>
      <c r="B38" s="91" t="str">
        <f>IF(ISBLANK(B13),"",B13)</f>
        <v/>
      </c>
      <c r="C38" s="91"/>
      <c r="D38" s="91"/>
      <c r="E38" s="612"/>
      <c r="F38" s="613"/>
      <c r="G38" s="304" t="str">
        <f>IFERROR((SUMPRODUCT($U13:$U37,G13:G37))/(100*$U38),"")</f>
        <v/>
      </c>
      <c r="H38" s="304" t="str">
        <f>IFERROR((SUMPRODUCT($U13:$U37,H13:H37))/(100*$U38),"")</f>
        <v/>
      </c>
      <c r="I38" s="91">
        <f>IFERROR(SUM(IF(FREQUENCY(I13:I37,I13:I37)&gt;0,1)),"")</f>
        <v>0</v>
      </c>
      <c r="J38" s="91"/>
      <c r="K38" s="91"/>
      <c r="L38" s="91"/>
      <c r="M38" s="91" t="s">
        <v>27</v>
      </c>
      <c r="N38" s="91">
        <f>IFERROR(SUM(IF(FREQUENCY(N13:N37,N13:N37)&gt;0,1)),"")</f>
        <v>0</v>
      </c>
      <c r="O38" s="91"/>
      <c r="P38" s="91"/>
      <c r="Q38" s="91"/>
      <c r="R38" s="91" t="s">
        <v>27</v>
      </c>
      <c r="S38" s="91"/>
      <c r="T38" s="91"/>
      <c r="U38" s="614">
        <f>+SUM(U13:U37)</f>
        <v>0</v>
      </c>
      <c r="V38" s="535" t="str">
        <f>IFERROR(SUMPRODUCT(U13:U37, V13:V37)/U38,"")</f>
        <v/>
      </c>
      <c r="W38" s="535"/>
      <c r="X38" s="535"/>
      <c r="Y38" s="535"/>
      <c r="Z38" s="535"/>
      <c r="AA38" s="535"/>
      <c r="AB38" s="535"/>
      <c r="AC38" s="535"/>
      <c r="AD38" s="535"/>
      <c r="AE38" s="535"/>
      <c r="AF38" s="535"/>
      <c r="AG38" s="535"/>
      <c r="AH38" s="535"/>
      <c r="AI38" s="149"/>
      <c r="AJ38" s="544"/>
      <c r="AK38" s="544"/>
      <c r="AL38" s="539"/>
      <c r="AM38" s="539"/>
      <c r="AN38" s="539"/>
      <c r="AO38" s="544"/>
      <c r="AP38" s="544">
        <f>MAX(AP13:AP37)</f>
        <v>0</v>
      </c>
      <c r="AQ38" s="544" t="s">
        <v>27</v>
      </c>
      <c r="AR38" s="544"/>
      <c r="AS38" s="544"/>
      <c r="AT38" s="544"/>
      <c r="AU38" s="544"/>
      <c r="AV38" s="544">
        <f>SUM(AV13:AV37)</f>
        <v>0</v>
      </c>
      <c r="AW38" s="544"/>
      <c r="AX38" s="544"/>
      <c r="AY38" s="544"/>
      <c r="AZ38" s="544"/>
      <c r="BA38" s="544"/>
      <c r="BB38" s="544"/>
      <c r="BC38" s="544"/>
      <c r="BD38" s="544"/>
      <c r="BE38" s="544"/>
      <c r="BF38" s="544"/>
      <c r="BG38" s="539"/>
      <c r="BH38" s="539"/>
      <c r="BI38" s="539"/>
      <c r="BJ38" s="544"/>
      <c r="BK38" s="544">
        <f>MAX(BK13:BK37)</f>
        <v>0</v>
      </c>
      <c r="BL38" s="544"/>
      <c r="BM38" s="544"/>
      <c r="BN38" s="544"/>
      <c r="BO38" s="544"/>
      <c r="BP38" s="544"/>
      <c r="BQ38" s="544"/>
      <c r="BR38" s="544"/>
      <c r="BS38" s="544"/>
      <c r="BT38" s="544"/>
      <c r="BU38" s="544"/>
      <c r="BV38" s="544"/>
      <c r="BW38" s="615">
        <f>SUM(IF(FREQUENCY(BW13:BW37,BW13:BW37)&gt;0,1))</f>
        <v>0</v>
      </c>
      <c r="BX38" s="615">
        <f>SUM(IF(FREQUENCY(BX13:BX37,BX13:BX37)&gt;0,1))</f>
        <v>0</v>
      </c>
      <c r="BY38" s="615">
        <f>SUM(IF(FREQUENCY(BY13:BY37,BY13:BY37)&gt;0,1))</f>
        <v>0</v>
      </c>
      <c r="BZ38" s="615">
        <f>SUM(IF(FREQUENCY(BZ13:BZ37,BZ13:BZ37)&gt;0,1))</f>
        <v>0</v>
      </c>
      <c r="CA38" s="546"/>
      <c r="CB38" s="547"/>
      <c r="CC38" s="625" t="str">
        <f>+IFERROR(((SUM(CC13:CC37))/$U38),"")</f>
        <v/>
      </c>
      <c r="CD38" s="548" t="str">
        <f>+IFERROR(((SUM(CD13:CD37))/$U38),"")</f>
        <v/>
      </c>
      <c r="CE38" s="548" t="str">
        <f>+IFERROR(((SUM(CE13:CE37))/$U38),"")</f>
        <v/>
      </c>
      <c r="CF38" s="549" t="str">
        <f>+IFERROR(((SUM(CF13:CF37))/$U38),"")</f>
        <v/>
      </c>
      <c r="CG38" s="616">
        <f>SUM(IF(FREQUENCY(BW13:BX37,BW13:BX37)&gt;0,1))</f>
        <v>0</v>
      </c>
      <c r="CH38" s="617">
        <f>SUM(IF(FREQUENCY(BY13:BZ37,BY13:BZ37)&gt;0,1))</f>
        <v>0</v>
      </c>
      <c r="CI38" s="552">
        <f>SUM(CI13:CI37)</f>
        <v>0</v>
      </c>
      <c r="CJ38" s="618"/>
      <c r="CK38" s="618"/>
      <c r="CL38" s="618"/>
      <c r="CM38" s="618"/>
      <c r="CN38" s="618"/>
      <c r="CO38" s="619"/>
    </row>
    <row r="39" spans="1:93" ht="27" customHeight="1" thickBot="1" x14ac:dyDescent="0.25">
      <c r="A39" s="219"/>
      <c r="B39" s="48"/>
      <c r="C39" s="219"/>
      <c r="D39" s="49"/>
      <c r="E39" s="49"/>
      <c r="F39" s="49"/>
      <c r="G39" s="49"/>
      <c r="H39" s="49"/>
      <c r="I39" s="49"/>
      <c r="J39" s="49"/>
      <c r="K39" s="49"/>
      <c r="L39" s="49"/>
      <c r="M39" s="49"/>
      <c r="N39" s="49"/>
      <c r="O39" s="49"/>
      <c r="P39" s="49"/>
      <c r="Q39" s="49"/>
      <c r="R39" s="49"/>
      <c r="S39" s="219"/>
      <c r="T39" s="219"/>
      <c r="U39" s="554"/>
      <c r="V39" s="554"/>
      <c r="W39" s="490"/>
      <c r="X39" s="490"/>
      <c r="Y39" s="490"/>
      <c r="Z39" s="490"/>
      <c r="AA39" s="490"/>
      <c r="AB39" s="490"/>
      <c r="AC39" s="490"/>
      <c r="AD39" s="490"/>
      <c r="AE39" s="490"/>
      <c r="AF39" s="491"/>
      <c r="AG39" s="491"/>
      <c r="AH39" s="491"/>
      <c r="AI39" s="104"/>
      <c r="AJ39" s="477"/>
      <c r="AK39" s="477"/>
      <c r="AL39" s="477"/>
      <c r="AM39" s="477"/>
      <c r="AN39" s="477"/>
      <c r="AO39" s="477"/>
      <c r="AP39" s="477"/>
      <c r="AQ39" s="477"/>
      <c r="AR39" s="477"/>
      <c r="AS39" s="477"/>
      <c r="AT39" s="477"/>
      <c r="AU39" s="477"/>
      <c r="AV39" s="477"/>
      <c r="AW39" s="477"/>
      <c r="AX39" s="477"/>
      <c r="AY39" s="290"/>
      <c r="AZ39" s="104"/>
      <c r="BA39" s="104"/>
      <c r="BB39" s="104"/>
      <c r="BC39" s="104"/>
      <c r="BD39" s="477"/>
      <c r="BE39" s="477"/>
      <c r="BF39" s="477"/>
      <c r="BG39" s="477"/>
      <c r="BH39" s="477"/>
      <c r="BI39" s="477"/>
      <c r="BJ39" s="477"/>
      <c r="BK39" s="477"/>
      <c r="BL39" s="477"/>
      <c r="BM39" s="477"/>
      <c r="BN39" s="477"/>
      <c r="BO39" s="477"/>
      <c r="BP39" s="477"/>
      <c r="BQ39" s="477"/>
      <c r="BR39" s="477"/>
      <c r="BS39" s="290"/>
      <c r="BT39" s="104"/>
      <c r="BU39" s="104"/>
      <c r="BV39" s="104"/>
      <c r="BW39" s="555"/>
      <c r="BX39" s="555"/>
      <c r="BY39" s="555"/>
      <c r="BZ39" s="555"/>
      <c r="CA39" s="473"/>
      <c r="CB39" s="492"/>
      <c r="CC39" s="1164" t="s">
        <v>393</v>
      </c>
      <c r="CD39" s="1165"/>
      <c r="CE39" s="1165"/>
      <c r="CF39" s="1166"/>
      <c r="CG39" s="1162" t="s">
        <v>560</v>
      </c>
      <c r="CH39" s="1163"/>
      <c r="CI39" s="556" t="s">
        <v>553</v>
      </c>
    </row>
    <row r="40" spans="1:93" s="121" customFormat="1" x14ac:dyDescent="0.2">
      <c r="A40" s="224" t="s">
        <v>398</v>
      </c>
      <c r="B40" s="172"/>
      <c r="C40" s="224"/>
      <c r="D40" s="120"/>
      <c r="E40" s="120"/>
      <c r="F40" s="120"/>
      <c r="G40" s="120"/>
      <c r="H40" s="120"/>
      <c r="I40" s="120"/>
      <c r="J40" s="120"/>
      <c r="K40" s="120"/>
      <c r="L40" s="113"/>
      <c r="M40" s="120"/>
      <c r="N40" s="120"/>
      <c r="O40" s="120"/>
      <c r="P40" s="113"/>
      <c r="Q40" s="120"/>
      <c r="R40" s="120"/>
      <c r="S40" s="224"/>
      <c r="T40" s="224"/>
      <c r="U40" s="557"/>
      <c r="V40" s="557"/>
      <c r="W40" s="558"/>
      <c r="X40" s="558"/>
      <c r="Y40" s="558"/>
      <c r="Z40" s="558"/>
      <c r="AA40" s="558"/>
      <c r="AB40" s="558"/>
      <c r="AC40" s="558"/>
      <c r="AD40" s="558"/>
      <c r="AE40" s="558"/>
      <c r="AF40" s="559"/>
      <c r="AG40" s="559"/>
      <c r="AH40" s="559"/>
      <c r="AI40" s="104"/>
      <c r="AJ40" s="559"/>
      <c r="AK40" s="559"/>
      <c r="AL40" s="559"/>
      <c r="AM40" s="559"/>
      <c r="AN40" s="559"/>
      <c r="AO40" s="559"/>
      <c r="AP40" s="559"/>
      <c r="AQ40" s="559"/>
      <c r="AR40" s="559"/>
      <c r="AS40" s="559"/>
      <c r="AT40" s="559"/>
      <c r="AU40" s="559"/>
      <c r="AV40" s="559"/>
      <c r="AW40" s="559"/>
      <c r="AX40" s="559"/>
      <c r="AY40" s="559"/>
      <c r="AZ40" s="559"/>
      <c r="BA40" s="559"/>
      <c r="BB40" s="559"/>
      <c r="BC40" s="559"/>
      <c r="BD40" s="559"/>
      <c r="BE40" s="559"/>
      <c r="BF40" s="559"/>
      <c r="BG40" s="559"/>
      <c r="BH40" s="559"/>
      <c r="BI40" s="559"/>
      <c r="BJ40" s="559"/>
      <c r="BK40" s="559"/>
      <c r="BL40" s="559"/>
      <c r="BM40" s="559"/>
      <c r="BN40" s="559"/>
      <c r="BO40" s="559"/>
      <c r="BP40" s="559"/>
      <c r="BQ40" s="559"/>
      <c r="BR40" s="559"/>
      <c r="BS40" s="559"/>
      <c r="BT40" s="559"/>
      <c r="BU40" s="559"/>
      <c r="BV40" s="559"/>
      <c r="BW40" s="475"/>
      <c r="BX40" s="475"/>
      <c r="BY40" s="475"/>
      <c r="BZ40" s="475"/>
      <c r="CA40" s="475"/>
      <c r="CB40" s="475"/>
      <c r="CC40" s="626"/>
      <c r="CD40" s="560"/>
      <c r="CE40" s="560"/>
      <c r="CF40" s="560"/>
      <c r="CG40" s="560"/>
      <c r="CH40" s="560"/>
      <c r="CI40" s="560"/>
      <c r="CJ40" s="560"/>
      <c r="CK40" s="560"/>
      <c r="CL40" s="560"/>
      <c r="CM40" s="560"/>
      <c r="CN40" s="560"/>
      <c r="CO40" s="561"/>
    </row>
    <row r="41" spans="1:93" s="183" customFormat="1" ht="87" customHeight="1" x14ac:dyDescent="0.2">
      <c r="A41" s="228" t="s">
        <v>73</v>
      </c>
      <c r="B41" s="184" t="s">
        <v>421</v>
      </c>
      <c r="C41" s="293" t="s">
        <v>114</v>
      </c>
      <c r="D41" s="173" t="s">
        <v>53</v>
      </c>
      <c r="E41" s="173" t="s">
        <v>499</v>
      </c>
      <c r="F41" s="173" t="s">
        <v>394</v>
      </c>
      <c r="G41" s="173" t="s">
        <v>242</v>
      </c>
      <c r="H41" s="173" t="s">
        <v>563</v>
      </c>
      <c r="I41" s="173" t="s">
        <v>236</v>
      </c>
      <c r="J41" s="173" t="s">
        <v>240</v>
      </c>
      <c r="K41" s="173" t="s">
        <v>238</v>
      </c>
      <c r="L41" s="173" t="s">
        <v>554</v>
      </c>
      <c r="M41" s="173" t="s">
        <v>241</v>
      </c>
      <c r="N41" s="173" t="s">
        <v>237</v>
      </c>
      <c r="O41" s="173" t="s">
        <v>243</v>
      </c>
      <c r="P41" s="173" t="s">
        <v>239</v>
      </c>
      <c r="Q41" s="173" t="s">
        <v>555</v>
      </c>
      <c r="R41" s="173" t="s">
        <v>244</v>
      </c>
      <c r="S41" s="220" t="s">
        <v>245</v>
      </c>
      <c r="T41" s="220" t="s">
        <v>256</v>
      </c>
      <c r="U41" s="500" t="s">
        <v>53</v>
      </c>
      <c r="V41" s="500" t="s">
        <v>396</v>
      </c>
      <c r="W41" s="501" t="s">
        <v>508</v>
      </c>
      <c r="X41" s="501" t="s">
        <v>509</v>
      </c>
      <c r="Y41" s="501" t="s">
        <v>510</v>
      </c>
      <c r="Z41" s="501" t="s">
        <v>512</v>
      </c>
      <c r="AA41" s="501" t="s">
        <v>513</v>
      </c>
      <c r="AB41" s="501" t="s">
        <v>514</v>
      </c>
      <c r="AC41" s="501" t="s">
        <v>506</v>
      </c>
      <c r="AD41" s="501" t="s">
        <v>507</v>
      </c>
      <c r="AE41" s="501" t="s">
        <v>511</v>
      </c>
      <c r="AF41" s="501" t="s">
        <v>503</v>
      </c>
      <c r="AG41" s="501" t="s">
        <v>504</v>
      </c>
      <c r="AH41" s="501" t="s">
        <v>505</v>
      </c>
      <c r="AI41" s="502"/>
      <c r="AJ41" s="609" t="s">
        <v>246</v>
      </c>
      <c r="AK41" s="502" t="s">
        <v>247</v>
      </c>
      <c r="AL41" s="503" t="s">
        <v>248</v>
      </c>
      <c r="AM41" s="503" t="s">
        <v>249</v>
      </c>
      <c r="AN41" s="504" t="s">
        <v>250</v>
      </c>
      <c r="AO41" s="502" t="s">
        <v>270</v>
      </c>
      <c r="AP41" s="502" t="s">
        <v>271</v>
      </c>
      <c r="AQ41" s="503" t="s">
        <v>251</v>
      </c>
      <c r="AR41" s="503" t="s">
        <v>14</v>
      </c>
      <c r="AS41" s="503" t="s">
        <v>252</v>
      </c>
      <c r="AT41" s="503" t="s">
        <v>253</v>
      </c>
      <c r="AU41" s="503" t="s">
        <v>579</v>
      </c>
      <c r="AV41" s="503" t="s">
        <v>578</v>
      </c>
      <c r="AW41" s="503" t="s">
        <v>254</v>
      </c>
      <c r="AX41" s="503" t="s">
        <v>255</v>
      </c>
      <c r="AY41" s="503" t="s">
        <v>391</v>
      </c>
      <c r="AZ41" s="503" t="s">
        <v>267</v>
      </c>
      <c r="BA41" s="503" t="s">
        <v>272</v>
      </c>
      <c r="BB41" s="503" t="s">
        <v>273</v>
      </c>
      <c r="BC41" s="502" t="s">
        <v>539</v>
      </c>
      <c r="BD41" s="503"/>
      <c r="BE41" s="502" t="s">
        <v>257</v>
      </c>
      <c r="BF41" s="502" t="s">
        <v>258</v>
      </c>
      <c r="BG41" s="503" t="s">
        <v>259</v>
      </c>
      <c r="BH41" s="503" t="s">
        <v>260</v>
      </c>
      <c r="BI41" s="504" t="s">
        <v>261</v>
      </c>
      <c r="BJ41" s="502" t="s">
        <v>275</v>
      </c>
      <c r="BK41" s="502" t="s">
        <v>274</v>
      </c>
      <c r="BL41" s="503" t="s">
        <v>262</v>
      </c>
      <c r="BM41" s="503" t="s">
        <v>14</v>
      </c>
      <c r="BN41" s="503" t="s">
        <v>263</v>
      </c>
      <c r="BO41" s="503" t="s">
        <v>264</v>
      </c>
      <c r="BP41" s="503" t="s">
        <v>542</v>
      </c>
      <c r="BQ41" s="503" t="s">
        <v>265</v>
      </c>
      <c r="BR41" s="503" t="s">
        <v>266</v>
      </c>
      <c r="BS41" s="503" t="s">
        <v>392</v>
      </c>
      <c r="BT41" s="503" t="s">
        <v>276</v>
      </c>
      <c r="BU41" s="503" t="s">
        <v>277</v>
      </c>
      <c r="BV41" s="503" t="s">
        <v>278</v>
      </c>
      <c r="BW41" s="503" t="s">
        <v>556</v>
      </c>
      <c r="BX41" s="503" t="s">
        <v>559</v>
      </c>
      <c r="BY41" s="503" t="s">
        <v>557</v>
      </c>
      <c r="BZ41" s="503" t="s">
        <v>558</v>
      </c>
      <c r="CA41" s="505" t="s">
        <v>543</v>
      </c>
      <c r="CB41" s="506"/>
      <c r="CC41" s="629" t="s">
        <v>279</v>
      </c>
      <c r="CD41" s="506" t="s">
        <v>280</v>
      </c>
      <c r="CE41" s="506" t="s">
        <v>281</v>
      </c>
      <c r="CF41" s="506" t="s">
        <v>282</v>
      </c>
      <c r="CG41" s="506" t="s">
        <v>283</v>
      </c>
      <c r="CH41" s="506" t="s">
        <v>284</v>
      </c>
      <c r="CI41" s="506" t="s">
        <v>545</v>
      </c>
      <c r="CJ41" s="507"/>
      <c r="CK41" s="507"/>
      <c r="CL41" s="506" t="s">
        <v>422</v>
      </c>
      <c r="CM41" s="506" t="s">
        <v>516</v>
      </c>
      <c r="CN41" s="506" t="s">
        <v>423</v>
      </c>
      <c r="CO41" s="508" t="s">
        <v>517</v>
      </c>
    </row>
    <row r="42" spans="1:93" s="16" customFormat="1" ht="27" customHeight="1" x14ac:dyDescent="0.2">
      <c r="A42" s="229" t="s">
        <v>5</v>
      </c>
      <c r="B42" s="185" t="s">
        <v>28</v>
      </c>
      <c r="C42" s="294" t="s">
        <v>5</v>
      </c>
      <c r="D42" s="174" t="s">
        <v>119</v>
      </c>
      <c r="E42" s="174" t="s">
        <v>498</v>
      </c>
      <c r="F42" s="174" t="s">
        <v>268</v>
      </c>
      <c r="G42" s="174" t="s">
        <v>60</v>
      </c>
      <c r="H42" s="174"/>
      <c r="I42" s="174" t="s">
        <v>28</v>
      </c>
      <c r="J42" s="174" t="s">
        <v>15</v>
      </c>
      <c r="K42" s="174" t="s">
        <v>269</v>
      </c>
      <c r="L42" s="174" t="s">
        <v>61</v>
      </c>
      <c r="M42" s="174" t="s">
        <v>5</v>
      </c>
      <c r="N42" s="174" t="s">
        <v>28</v>
      </c>
      <c r="O42" s="174" t="s">
        <v>15</v>
      </c>
      <c r="P42" s="174" t="s">
        <v>269</v>
      </c>
      <c r="Q42" s="174" t="s">
        <v>61</v>
      </c>
      <c r="R42" s="174" t="s">
        <v>5</v>
      </c>
      <c r="S42" s="221" t="s">
        <v>16</v>
      </c>
      <c r="T42" s="221" t="s">
        <v>16</v>
      </c>
      <c r="U42" s="509" t="s">
        <v>59</v>
      </c>
      <c r="V42" s="509" t="s">
        <v>5</v>
      </c>
      <c r="W42" s="510" t="s">
        <v>60</v>
      </c>
      <c r="X42" s="510" t="s">
        <v>60</v>
      </c>
      <c r="Y42" s="510" t="s">
        <v>60</v>
      </c>
      <c r="Z42" s="511" t="s">
        <v>60</v>
      </c>
      <c r="AA42" s="511" t="s">
        <v>60</v>
      </c>
      <c r="AB42" s="511" t="s">
        <v>60</v>
      </c>
      <c r="AC42" s="510" t="s">
        <v>60</v>
      </c>
      <c r="AD42" s="510" t="s">
        <v>60</v>
      </c>
      <c r="AE42" s="510"/>
      <c r="AF42" s="511" t="s">
        <v>60</v>
      </c>
      <c r="AG42" s="511" t="s">
        <v>60</v>
      </c>
      <c r="AH42" s="511" t="s">
        <v>60</v>
      </c>
      <c r="AI42" s="512"/>
      <c r="AJ42" s="610" t="s">
        <v>17</v>
      </c>
      <c r="AK42" s="512" t="s">
        <v>18</v>
      </c>
      <c r="AL42" s="513" t="s">
        <v>51</v>
      </c>
      <c r="AM42" s="514" t="s">
        <v>60</v>
      </c>
      <c r="AN42" s="515" t="s">
        <v>52</v>
      </c>
      <c r="AO42" s="516" t="s">
        <v>18</v>
      </c>
      <c r="AP42" s="516" t="s">
        <v>18</v>
      </c>
      <c r="AQ42" s="517" t="s">
        <v>60</v>
      </c>
      <c r="AR42" s="517" t="s">
        <v>18</v>
      </c>
      <c r="AS42" s="517" t="s">
        <v>18</v>
      </c>
      <c r="AT42" s="517" t="s">
        <v>17</v>
      </c>
      <c r="AU42" s="517" t="s">
        <v>538</v>
      </c>
      <c r="AV42" s="517" t="s">
        <v>59</v>
      </c>
      <c r="AW42" s="517" t="s">
        <v>18</v>
      </c>
      <c r="AX42" s="517" t="s">
        <v>59</v>
      </c>
      <c r="AY42" s="517" t="s">
        <v>59</v>
      </c>
      <c r="AZ42" s="517" t="s">
        <v>59</v>
      </c>
      <c r="BA42" s="517" t="s">
        <v>59</v>
      </c>
      <c r="BB42" s="517" t="s">
        <v>59</v>
      </c>
      <c r="BC42" s="512" t="s">
        <v>59</v>
      </c>
      <c r="BD42" s="518"/>
      <c r="BE42" s="512" t="s">
        <v>17</v>
      </c>
      <c r="BF42" s="512" t="s">
        <v>18</v>
      </c>
      <c r="BG42" s="513" t="s">
        <v>51</v>
      </c>
      <c r="BH42" s="514" t="s">
        <v>60</v>
      </c>
      <c r="BI42" s="515" t="s">
        <v>52</v>
      </c>
      <c r="BJ42" s="516" t="s">
        <v>18</v>
      </c>
      <c r="BK42" s="516" t="s">
        <v>18</v>
      </c>
      <c r="BL42" s="517" t="s">
        <v>60</v>
      </c>
      <c r="BM42" s="517" t="s">
        <v>18</v>
      </c>
      <c r="BN42" s="517" t="s">
        <v>18</v>
      </c>
      <c r="BO42" s="517" t="s">
        <v>17</v>
      </c>
      <c r="BP42" s="517" t="s">
        <v>538</v>
      </c>
      <c r="BQ42" s="517" t="s">
        <v>18</v>
      </c>
      <c r="BR42" s="517" t="s">
        <v>59</v>
      </c>
      <c r="BS42" s="517" t="s">
        <v>59</v>
      </c>
      <c r="BT42" s="517" t="s">
        <v>59</v>
      </c>
      <c r="BU42" s="517" t="s">
        <v>59</v>
      </c>
      <c r="BV42" s="517" t="s">
        <v>59</v>
      </c>
      <c r="BW42" s="519" t="s">
        <v>386</v>
      </c>
      <c r="BX42" s="519" t="s">
        <v>386</v>
      </c>
      <c r="BY42" s="519" t="s">
        <v>387</v>
      </c>
      <c r="BZ42" s="519" t="s">
        <v>387</v>
      </c>
      <c r="CA42" s="519" t="s">
        <v>59</v>
      </c>
      <c r="CB42" s="520"/>
      <c r="CC42" s="623" t="s">
        <v>59</v>
      </c>
      <c r="CD42" s="520" t="s">
        <v>59</v>
      </c>
      <c r="CE42" s="520" t="s">
        <v>59</v>
      </c>
      <c r="CF42" s="520" t="s">
        <v>59</v>
      </c>
      <c r="CG42" s="520" t="s">
        <v>386</v>
      </c>
      <c r="CH42" s="520" t="s">
        <v>387</v>
      </c>
      <c r="CI42" s="520" t="s">
        <v>59</v>
      </c>
      <c r="CJ42" s="521"/>
      <c r="CK42" s="521"/>
      <c r="CL42" s="520" t="s">
        <v>28</v>
      </c>
      <c r="CM42" s="520" t="s">
        <v>59</v>
      </c>
      <c r="CN42" s="520" t="s">
        <v>28</v>
      </c>
      <c r="CO42" s="522" t="s">
        <v>59</v>
      </c>
    </row>
    <row r="43" spans="1:93" x14ac:dyDescent="0.2">
      <c r="A43" s="230"/>
      <c r="B43" s="857"/>
      <c r="C43" s="230"/>
      <c r="D43" s="169"/>
      <c r="E43" s="165"/>
      <c r="F43" s="165"/>
      <c r="G43" s="165"/>
      <c r="H43" s="165"/>
      <c r="I43" s="166"/>
      <c r="J43" s="167"/>
      <c r="K43" s="166"/>
      <c r="L43" s="166"/>
      <c r="M43" s="167"/>
      <c r="N43" s="166"/>
      <c r="O43" s="166"/>
      <c r="P43" s="166"/>
      <c r="Q43" s="167"/>
      <c r="R43" s="167"/>
      <c r="S43" s="222" t="str">
        <f>IF(ISBLANK(A43),"",IF(ISNA(VLOOKUP(I43,Veg_Parameters!$A$3:$N$65,3,FALSE)),0,(VLOOKUP(I43,Veg_Parameters!$A$3:$N$65,3,FALSE))))</f>
        <v/>
      </c>
      <c r="T43" s="222" t="str">
        <f>IF(ISBLANK(N43),"",IF(ISNA(VLOOKUP(N43,Veg_Parameters!$A$3:$N$65,3,FALSE)),0,(VLOOKUP(N43,Veg_Parameters!$A$3:$N$65,3,FALSE))))</f>
        <v/>
      </c>
      <c r="U43" s="523">
        <f>IF(ISBLANK(A43),0,0.092903*D43)</f>
        <v>0</v>
      </c>
      <c r="V43" s="523">
        <f t="shared" ref="V43:V67" si="66">IF(ISBLANK(A43),0, IF(F43="H", 5, IF(F43="M", 3, IF(F43="L", 1.5, 0))))</f>
        <v>0</v>
      </c>
      <c r="W43" s="524">
        <f>IF(ISBLANK(A43),0,IF(ISNA(VLOOKUP($I43,Veg_Parameters!$A$3:$N$65,10,FALSE)),0,(VLOOKUP($I43,Veg_Parameters!$A$3:$N$65,10,FALSE))))</f>
        <v>0</v>
      </c>
      <c r="X43" s="524">
        <f>IF(ISBLANK(A43),0,IF(ISNA(VLOOKUP($I43,Veg_Parameters!$A$3:$N$65,11,FALSE)),0,(VLOOKUP($I43,Veg_Parameters!$A$3:$N$65,11,FALSE))))</f>
        <v>0</v>
      </c>
      <c r="Y43" s="524">
        <f>IF(ISBLANK(A43),0,IF(ISNA(VLOOKUP($I43,Veg_Parameters!$A$3:$N$65,12,FALSE)),0,(VLOOKUP($I43,Veg_Parameters!$A$3:$N$65,12,FALSE))))</f>
        <v>0</v>
      </c>
      <c r="Z43" s="525">
        <f t="shared" si="1"/>
        <v>0</v>
      </c>
      <c r="AA43" s="525">
        <f t="shared" ref="AA43:AA67" si="67">IF(ISBLANK(E43), 0, IF($O$9="L", $Y43, IF($O$9 = "H", 1, IF($O$9="M", 0.8, " "))))</f>
        <v>0</v>
      </c>
      <c r="AB43" s="525">
        <f t="shared" ref="AB43:AB67" si="68">IF(I43&gt;0, Z43*AA43, 0)</f>
        <v>0</v>
      </c>
      <c r="AC43" s="524">
        <f>IF(ISBLANK(N43),0,IF(ISNA(VLOOKUP($N43,Veg_Parameters!$A$3:$N$65,10,FALSE)),0,(VLOOKUP($N43,Veg_Parameters!$A$3:$N$65,10,FALSE))))</f>
        <v>0</v>
      </c>
      <c r="AD43" s="524">
        <f>IF(ISBLANK(N43),0,IF(ISNA(VLOOKUP($N43,Veg_Parameters!$A$3:$N$65,11,FALSE)),0,(VLOOKUP($N43,Veg_Parameters!$A$3:$N$65,11,FALSE))))</f>
        <v>0</v>
      </c>
      <c r="AE43" s="524">
        <f>IF(ISBLANK(N43), 0, IF(ISNA(VLOOKUP($N43,Veg_Parameters!$A$3:$N$65,12,FALSE)),0,(VLOOKUP($N43,Veg_Parameters!$A$3:$N$65,12,FALSE))))</f>
        <v>0</v>
      </c>
      <c r="AF43" s="523">
        <f t="shared" ref="AF43:AF67" si="69">IF(N43="", 0,IF($E43="C",W43,IF($E43="F",X43,IF($E43="M",1," "))))</f>
        <v>0</v>
      </c>
      <c r="AG43" s="523">
        <f t="shared" ref="AG43:AG67" si="70">IF(N43="", 0,IF($O$9="L", $AE43, IF($O$9 = "H", 1, IF($O$9="M", 0.8, ""))))</f>
        <v>0</v>
      </c>
      <c r="AH43" s="523">
        <f t="shared" ref="AH43:AH67" si="71">IF(N43&gt;0, AF43*AG43, 0)</f>
        <v>0</v>
      </c>
      <c r="AI43" s="526"/>
      <c r="AJ43" s="527">
        <f>AB43*(IF(ISNA(VLOOKUP($I43,Veg_Parameters!$A$3:$N$65,5,FALSE)),0,(VLOOKUP($I43,Veg_Parameters!$A$3:$N$65,5,FALSE))))</f>
        <v>0</v>
      </c>
      <c r="AK43" s="527">
        <f>IF(ISNA(VLOOKUP($I43,Veg_Parameters!$A$3:$N$65,4,FALSE)),0,(VLOOKUP($I43,Veg_Parameters!$A$3:$N$65,4,FALSE)))</f>
        <v>0</v>
      </c>
      <c r="AL43" s="527">
        <f>AB43*(IF(ISNA(VLOOKUP($I43,Veg_Parameters!$A$3:$N$65,7,FALSE)),0, (VLOOKUP($I43,Veg_Parameters!$A$3:$N$65,7,FALSE))))</f>
        <v>0</v>
      </c>
      <c r="AM43" s="528">
        <f>IF(ISNA(VLOOKUP($I43,Veg_Parameters!$A$3:$N$65,6,FALSE)), 0, (VLOOKUP($I43,Veg_Parameters!$A$3:$N$65,6,FALSE)))</f>
        <v>0</v>
      </c>
      <c r="AN43" s="529">
        <f t="shared" ref="AN43:AN67" si="72">IF($O$7=1,J43+$O$8,J43)</f>
        <v>20</v>
      </c>
      <c r="AO43" s="529">
        <f t="shared" ref="AO43:AO67" si="73">IF(AJ43&gt;0, AK43*(1-EXP(-AJ43*AN43/AK43)), 0)</f>
        <v>0</v>
      </c>
      <c r="AP43" s="529">
        <f t="shared" ref="AP43:AP67" si="74">IF(K43&gt;0, K43*0.3048, AO43)</f>
        <v>0</v>
      </c>
      <c r="AQ43" s="530">
        <f>IF(AL43&gt;0, AM43*(1-EXP(-AL43*AN43/AM43)), 0)</f>
        <v>0</v>
      </c>
      <c r="AR43" s="527" t="s">
        <v>3</v>
      </c>
      <c r="AS43" s="527">
        <f>IF(ISNA(VLOOKUP($I43,Veg_Parameters!$A$3:$N$65,8,FALSE)), 0, (VLOOKUP($I43,Veg_Parameters!$A$3:$N$65,8,FALSE)))</f>
        <v>0</v>
      </c>
      <c r="AT43" s="527">
        <f>AB43*(IF(ISNA(VLOOKUP($I43,Veg_Parameters!$A$3:$N$65,9,FALSE)), 0, (VLOOKUP($I43,Veg_Parameters!$A$3:$N$65,9,FALSE))))</f>
        <v>0</v>
      </c>
      <c r="AU43" s="527">
        <f>IF(ISBLANK(A43),0,VLOOKUP($I43,Veg_Parameters!$A$4:$U$65,21,))</f>
        <v>0</v>
      </c>
      <c r="AV43" s="527">
        <f>IF(OR(I43=3500,I43=3600),U43,0)</f>
        <v>0</v>
      </c>
      <c r="AW43" s="529">
        <f>IF(AT43&gt;0, AS43*(1-EXP(-AT43*AN43/AS43)),0)</f>
        <v>0</v>
      </c>
      <c r="AX43" s="529">
        <f>PI()*(0.5*AW43)^2</f>
        <v>0</v>
      </c>
      <c r="AY43" s="529">
        <f t="shared" ref="AY43:AY67" si="75">IF(AX43*L43*($D43/1000)&lt;$U43, AX43*L43*($D43/1000), $U43)</f>
        <v>0</v>
      </c>
      <c r="AZ43" s="529">
        <f>+IF(AP43&gt;4.6,AY43,0)</f>
        <v>0</v>
      </c>
      <c r="BA43" s="529">
        <f>IF(AND(AP43&gt;0.9,AP43&lt;4.6),AY43,IF(AP43&gt;4.6,0.5*AY43,0))</f>
        <v>0</v>
      </c>
      <c r="BB43" s="529">
        <f>IF(AND(AP43&gt;0,AP43&lt;0.9),AY43,IF(AND(AP43&gt;0.9,AP43&lt;4.6),AY43*0.5,IF(AP43&gt;4.6,AY43*0.25,0)))</f>
        <v>0</v>
      </c>
      <c r="BC43" s="529">
        <f t="shared" ref="BC43:BC67" si="76">IF(ISBLANK(A43),0,(AY43*AU43))</f>
        <v>0</v>
      </c>
      <c r="BD43" s="531"/>
      <c r="BE43" s="527">
        <f>AH43*(IF(ISNA(VLOOKUP($N43,Veg_Parameters!$A$3:$N$65,5,FALSE)),0,(VLOOKUP($N43,Veg_Parameters!$A$3:$N$65,5,FALSE))))</f>
        <v>0</v>
      </c>
      <c r="BF43" s="527">
        <f>IF(ISNA(VLOOKUP($N43,Veg_Parameters!$A$3:$N$65,4,FALSE)),0,(VLOOKUP($N43,Veg_Parameters!$A$3:$N$65,4,FALSE)))</f>
        <v>0</v>
      </c>
      <c r="BG43" s="527">
        <f>AH43*(IF(ISNA(VLOOKUP($N43,Veg_Parameters!$A$3:$N$65,7,FALSE)),0, (VLOOKUP($N43,Veg_Parameters!$A$3:$N$65,7,FALSE))))</f>
        <v>0</v>
      </c>
      <c r="BH43" s="527">
        <f>IF(ISNA(VLOOKUP($N43,Veg_Parameters!$A$3:$N$65,6,FALSE)), 0, (VLOOKUP($N43,Veg_Parameters!$A$3:$N$65,6,FALSE)))</f>
        <v>0</v>
      </c>
      <c r="BI43" s="529">
        <f t="shared" ref="BI43:BI67" si="77">IF($O$7=1,O43+$O$8,O43)</f>
        <v>20</v>
      </c>
      <c r="BJ43" s="529">
        <f>IF(BE43&gt;0, BF43*(1-EXP(-BE43*BI43/BF43)), 0)</f>
        <v>0</v>
      </c>
      <c r="BK43" s="529">
        <f t="shared" ref="BK43:BK67" si="78">IF(P43&gt;0, P43*0.3048, BJ43)</f>
        <v>0</v>
      </c>
      <c r="BL43" s="530">
        <f>IF(BG43&gt;0, BH43*(1-EXP(-BG43*BI43/BH43)), 0)</f>
        <v>0</v>
      </c>
      <c r="BM43" s="527" t="s">
        <v>3</v>
      </c>
      <c r="BN43" s="527">
        <f>IF(ISNA(VLOOKUP(N43,Veg_Parameters!$A$3:$N$65,8,FALSE)), 0, (VLOOKUP($N43,Veg_Parameters!$A$3:$N$65,8,FALSE)))</f>
        <v>0</v>
      </c>
      <c r="BO43" s="527">
        <f>AH43*(IF(ISNA(VLOOKUP($N43,Veg_Parameters!$A$3:$N$65,9,FALSE)), 0, (VLOOKUP($N43,Veg_Parameters!$A$3:$N$65,9,FALSE))))</f>
        <v>0</v>
      </c>
      <c r="BP43" s="527" t="str">
        <f>IF(ISBLANK(N43),"0",VLOOKUP($N43,Veg_Parameters!$A$4:$U$65,21,))</f>
        <v>0</v>
      </c>
      <c r="BQ43" s="529">
        <f>IF(BO43&gt;0, BN43*(1-EXP(-BO43*BI43/BN43)),0)</f>
        <v>0</v>
      </c>
      <c r="BR43" s="529">
        <f>PI()*(0.5*BQ43)^2</f>
        <v>0</v>
      </c>
      <c r="BS43" s="529">
        <f t="shared" ref="BS43:BS67" si="79">IF(BR43*Q43*($D43/1000)&lt;$U43, BR43*Q43*($D43/1000), $U43)</f>
        <v>0</v>
      </c>
      <c r="BT43" s="529">
        <f>+IF(BK43&gt;4.6,BS43,0)</f>
        <v>0</v>
      </c>
      <c r="BU43" s="529">
        <f>IF(AND(BK43&lt;4.6,BK43&gt;0.9),BS43,IF(BK43&gt;4.6,(0.5*BS43),0))</f>
        <v>0</v>
      </c>
      <c r="BV43" s="529">
        <f>IF(AND(BK43&gt;0,BK43&lt;0.9),BS43,IF(AND(BK43&gt;0.9,BK43&lt;4.6),BS43*0.5,IF(BK43&gt;4.6,(BS43*0.25),0)))</f>
        <v>0</v>
      </c>
      <c r="BW43" s="532" t="str">
        <f t="shared" ref="BW43:BW67" si="80">IF(AP43&gt;4.57,I43,"")</f>
        <v/>
      </c>
      <c r="BX43" s="532" t="str">
        <f t="shared" ref="BX43:BX67" si="81">IF(BK43&gt;4.57,N43,"")</f>
        <v/>
      </c>
      <c r="BY43" s="532" t="str">
        <f t="shared" ref="BY43:BY67" si="82">IF((AND(AP43&gt;0.76,AP43&lt;4.6)),I43,"")</f>
        <v/>
      </c>
      <c r="BZ43" s="532" t="str">
        <f t="shared" ref="BZ43:BZ67" si="83">IF((AND(BK43&gt;0.76,BK43&lt;4.6)),N43,"")</f>
        <v/>
      </c>
      <c r="CA43" s="532">
        <f t="shared" ref="CA43:CA67" si="84">IF(ISBLANK(N43),0,(BS43*BP43))</f>
        <v>0</v>
      </c>
      <c r="CB43" s="533"/>
      <c r="CC43" s="624">
        <f t="shared" ref="CC43:CC67" si="85">IF(ISERROR(IF((AY43+BS43)&lt;$U43,(AY43*AQ43+BS43*BL43),(((AQ43*AY43+BL43*BS43)/(AY43+BS43))*$U43))),0,IF((AY43+BS43)&lt;$U43,(AY43*AQ43+BS43*BL43),(((AQ43*AY43+BL43*BS43)/(AY43+BS43))*$U43)))</f>
        <v>0</v>
      </c>
      <c r="CD43" s="534">
        <f t="shared" ref="CD43:CD67" si="86">IF(ISERROR(IF((AZ43+BT43)&lt;$U43,(AQ43*AZ43+BT43*BL43),(((AQ43*AZ43+BL43*BT43)/(AZ43+BT43))*$U43))),0,IF((AZ43+BT43)&lt;$U43,(AQ43*AZ43+BT43*BL43),(((AQ43*AZ43+BL43*BT43)/(AZ43+BT43))*$U43)))</f>
        <v>0</v>
      </c>
      <c r="CE43" s="534">
        <f t="shared" ref="CE43:CE67" si="87">IF(ISERROR(IF((BA43+BU43)&lt;$U43,(AQ43*BA43+BL43*BU43),(((AQ43*BA43+BL43*BU43)/(BA43+BU43))*$U43))),0,IF((BA43+BU43)&lt;$U43,(AQ43*BA43+BL43*BU43),(((AQ43*BA43+BL43*BU43)/(BA43+BU43))*$U43)))</f>
        <v>0</v>
      </c>
      <c r="CF43" s="534">
        <f t="shared" ref="CF43:CF67" si="88">+IF(ISBLANK(A43),0,IF((BB43+BV43+(G43/100)*U43)&gt;U43,U43,(BB43+BV43+(G43/100)*U43)))</f>
        <v>0</v>
      </c>
      <c r="CG43" s="534"/>
      <c r="CH43" s="534"/>
      <c r="CI43" s="534">
        <f>BC43+CA43</f>
        <v>0</v>
      </c>
      <c r="CL43" s="534">
        <f>IF(ISNA(VLOOKUP(I43,Veg_Parameters!$A$3:$N$65,13,FALSE)),0,(VLOOKUP(I43,Veg_Parameters!$A$3:$N$65,13,FALSE)))</f>
        <v>0</v>
      </c>
      <c r="CM43" s="534">
        <f>+IF(ISBLANK(A43),0,IF(CL43="H",BB43,0))</f>
        <v>0</v>
      </c>
      <c r="CN43" s="534">
        <f>IF(ISNA(VLOOKUP(N43,Veg_Parameters!$A$3:$N$65,13,FALSE)),0,(VLOOKUP(N43,Veg_Parameters!$A$3:$N$65,13,FALSE)))</f>
        <v>0</v>
      </c>
      <c r="CO43" s="523">
        <f>+IF(ISBLANK(A43),0, IF(CN43="H", BV43, 0))</f>
        <v>0</v>
      </c>
    </row>
    <row r="44" spans="1:93" x14ac:dyDescent="0.2">
      <c r="A44" s="230"/>
      <c r="B44" s="171" t="str">
        <f>IF(ISBLANK(A44),"",$B$43)</f>
        <v/>
      </c>
      <c r="C44" s="230"/>
      <c r="D44" s="169"/>
      <c r="E44" s="165"/>
      <c r="F44" s="165"/>
      <c r="G44" s="165"/>
      <c r="H44" s="165"/>
      <c r="I44" s="166"/>
      <c r="J44" s="167"/>
      <c r="K44" s="166"/>
      <c r="L44" s="166"/>
      <c r="M44" s="167"/>
      <c r="N44" s="166"/>
      <c r="O44" s="166"/>
      <c r="P44" s="167"/>
      <c r="Q44" s="167"/>
      <c r="R44" s="167"/>
      <c r="S44" s="222" t="str">
        <f>IF(ISBLANK(A44),"",IF(ISNA(VLOOKUP(I44,Veg_Parameters!$A$3:$N$65,3,FALSE)),0,(VLOOKUP(I44,Veg_Parameters!$A$3:$N$65,3,FALSE))))</f>
        <v/>
      </c>
      <c r="T44" s="222" t="str">
        <f>IF(ISBLANK(N44),"",IF(ISNA(VLOOKUP(N44,Veg_Parameters!$A$3:$N$65,3,FALSE)),0,(VLOOKUP(N44,Veg_Parameters!$A$3:$N$65,3,FALSE))))</f>
        <v/>
      </c>
      <c r="U44" s="523">
        <f t="shared" ref="U44:U67" si="89">IF(ISBLANK(A44),0,0.092903*D44)</f>
        <v>0</v>
      </c>
      <c r="V44" s="523">
        <f t="shared" si="66"/>
        <v>0</v>
      </c>
      <c r="W44" s="524">
        <f>IF(ISBLANK(A44),0,IF(ISNA(VLOOKUP($I44,Veg_Parameters!$A$3:$N$65,10,FALSE)),0,(VLOOKUP($I44,Veg_Parameters!$A$3:$N$65,10,FALSE))))</f>
        <v>0</v>
      </c>
      <c r="X44" s="524">
        <f>IF(ISBLANK(A44),0,IF(ISNA(VLOOKUP($I44,Veg_Parameters!$A$3:$N$65,11,FALSE)),0,(VLOOKUP($I44,Veg_Parameters!$A$3:$N$65,11,FALSE))))</f>
        <v>0</v>
      </c>
      <c r="Y44" s="524">
        <f>IF(ISBLANK(A44),0,IF(ISNA(VLOOKUP($I44,Veg_Parameters!$A$3:$N$65,12,FALSE)),0,(VLOOKUP($I44,Veg_Parameters!$A$3:$N$65,12,FALSE))))</f>
        <v>0</v>
      </c>
      <c r="Z44" s="525">
        <f t="shared" si="1"/>
        <v>0</v>
      </c>
      <c r="AA44" s="525">
        <f t="shared" si="67"/>
        <v>0</v>
      </c>
      <c r="AB44" s="525">
        <f t="shared" si="68"/>
        <v>0</v>
      </c>
      <c r="AC44" s="524">
        <f>IF(ISBLANK(N44),0,IF(ISNA(VLOOKUP($N44,Veg_Parameters!$A$3:$N$65,10,FALSE)),0,(VLOOKUP($N44,Veg_Parameters!$A$3:$N$65,10,FALSE))))</f>
        <v>0</v>
      </c>
      <c r="AD44" s="524">
        <f>IF(ISBLANK(N44),0,IF(ISNA(VLOOKUP($N44,Veg_Parameters!$A$3:$N$65,11,FALSE)),0,(VLOOKUP($N44,Veg_Parameters!$A$3:$N$65,11,FALSE))))</f>
        <v>0</v>
      </c>
      <c r="AE44" s="524">
        <f>IF(ISBLANK(N44), 0, IF(ISNA(VLOOKUP($N44,Veg_Parameters!$A$3:$N$65,12,FALSE)),0,(VLOOKUP($N44,Veg_Parameters!$A$3:$N$65,12,FALSE))))</f>
        <v>0</v>
      </c>
      <c r="AF44" s="523">
        <f t="shared" si="69"/>
        <v>0</v>
      </c>
      <c r="AG44" s="523">
        <f t="shared" si="70"/>
        <v>0</v>
      </c>
      <c r="AH44" s="523">
        <f t="shared" si="71"/>
        <v>0</v>
      </c>
      <c r="AI44" s="526"/>
      <c r="AJ44" s="527">
        <f>AB44*(IF(ISNA(VLOOKUP($I44,Veg_Parameters!$A$3:$N$65,5,FALSE)),0,(VLOOKUP($I44,Veg_Parameters!$A$3:$N$65,5,FALSE))))</f>
        <v>0</v>
      </c>
      <c r="AK44" s="527">
        <f>IF(ISNA(VLOOKUP($I44,Veg_Parameters!$A$3:$N$65,4,FALSE)),0,(VLOOKUP($I44,Veg_Parameters!$A$3:$N$65,4,FALSE)))</f>
        <v>0</v>
      </c>
      <c r="AL44" s="527">
        <f>AB44*(IF(ISNA(VLOOKUP($I44,Veg_Parameters!$A$3:$N$65,7,FALSE)),0, (VLOOKUP($I44,Veg_Parameters!$A$3:$N$65,7,FALSE))))</f>
        <v>0</v>
      </c>
      <c r="AM44" s="528">
        <f>IF(ISNA(VLOOKUP($I44,Veg_Parameters!$A$3:$N$65,6,FALSE)), 0, (VLOOKUP($I44,Veg_Parameters!$A$3:$N$65,6,FALSE)))</f>
        <v>0</v>
      </c>
      <c r="AN44" s="529">
        <f t="shared" si="72"/>
        <v>20</v>
      </c>
      <c r="AO44" s="529">
        <f t="shared" si="73"/>
        <v>0</v>
      </c>
      <c r="AP44" s="529">
        <f t="shared" si="74"/>
        <v>0</v>
      </c>
      <c r="AQ44" s="530">
        <f t="shared" ref="AQ44:AQ67" si="90">IF(AL44&gt;0, AM44*(1-EXP(-AL44*AN44/AM44)), 0)</f>
        <v>0</v>
      </c>
      <c r="AR44" s="527" t="s">
        <v>3</v>
      </c>
      <c r="AS44" s="527">
        <f>IF(ISNA(VLOOKUP($I44,Veg_Parameters!$A$3:$N$65,8,FALSE)), 0, (VLOOKUP($I44,Veg_Parameters!$A$3:$N$65,8,FALSE)))</f>
        <v>0</v>
      </c>
      <c r="AT44" s="527">
        <f>AB44*(IF(ISNA(VLOOKUP($I44,Veg_Parameters!$A$3:$N$65,9,FALSE)), 0, (VLOOKUP($I44,Veg_Parameters!$A$3:$N$65,9,FALSE))))</f>
        <v>0</v>
      </c>
      <c r="AU44" s="527">
        <f>IF(ISBLANK(A44),0,VLOOKUP($I44,Veg_Parameters!$A$4:$U$65,21,))</f>
        <v>0</v>
      </c>
      <c r="AV44" s="527">
        <f t="shared" ref="AV44:AV67" si="91">IF(OR(I44=3500,I44=3600),U44,0)</f>
        <v>0</v>
      </c>
      <c r="AW44" s="529">
        <f t="shared" ref="AW44:AW67" si="92">IF(AT44&gt;0, AS44*(1-EXP(-AT44*AN44/AS44)),0)</f>
        <v>0</v>
      </c>
      <c r="AX44" s="529">
        <f t="shared" ref="AX44:AX67" si="93">PI()*(0.5*AW44)^2</f>
        <v>0</v>
      </c>
      <c r="AY44" s="529">
        <f t="shared" si="75"/>
        <v>0</v>
      </c>
      <c r="AZ44" s="529">
        <f t="shared" ref="AZ44:AZ67" si="94">+IF(AP44&gt;4.6,AY44,0)</f>
        <v>0</v>
      </c>
      <c r="BA44" s="529">
        <f t="shared" ref="BA44:BA67" si="95">IF(AND(AP44&gt;0.9,AP44&lt;4.6),AY44,IF(AP44&gt;4.6,0.5*AY44,0))</f>
        <v>0</v>
      </c>
      <c r="BB44" s="529">
        <f t="shared" ref="BB44:BB67" si="96">IF(AND(AP44&gt;0,AP44&lt;0.9),AY44,IF(AND(AP44&gt;0.9,AP44&lt;4.6),AY44*0.5,IF(AP44&gt;4.6,AY44*0.25,0)))</f>
        <v>0</v>
      </c>
      <c r="BC44" s="529">
        <f t="shared" si="76"/>
        <v>0</v>
      </c>
      <c r="BD44" s="531"/>
      <c r="BE44" s="527">
        <f>AH44*(IF(ISNA(VLOOKUP($N44,Veg_Parameters!$A$3:$N$65,5,FALSE)),0,(VLOOKUP($N44,Veg_Parameters!$A$3:$N$65,5,FALSE))))</f>
        <v>0</v>
      </c>
      <c r="BF44" s="527">
        <f>IF(ISNA(VLOOKUP($N44,Veg_Parameters!$A$3:$N$65,4,FALSE)),0,(VLOOKUP($N44,Veg_Parameters!$A$3:$N$65,4,FALSE)))</f>
        <v>0</v>
      </c>
      <c r="BG44" s="527">
        <f>AH44*(IF(ISNA(VLOOKUP($N44,Veg_Parameters!$A$3:$N$65,7,FALSE)),0, (VLOOKUP($N44,Veg_Parameters!$A$3:$N$65,7,FALSE))))</f>
        <v>0</v>
      </c>
      <c r="BH44" s="527">
        <f>IF(ISNA(VLOOKUP($N44,Veg_Parameters!$A$3:$N$65,6,FALSE)), 0, (VLOOKUP($N44,Veg_Parameters!$A$3:$N$65,6,FALSE)))</f>
        <v>0</v>
      </c>
      <c r="BI44" s="529">
        <f t="shared" si="77"/>
        <v>20</v>
      </c>
      <c r="BJ44" s="529">
        <f t="shared" ref="BJ44:BJ67" si="97">IF(BE44&gt;0, BF44*(1-EXP(-BE44*BI44/BF44)), 0)</f>
        <v>0</v>
      </c>
      <c r="BK44" s="529">
        <f t="shared" si="78"/>
        <v>0</v>
      </c>
      <c r="BL44" s="530">
        <f t="shared" ref="BL44:BL67" si="98">IF(BG44&gt;0, BH44*(1-EXP(-BG44*BI44/BH44)), 0)</f>
        <v>0</v>
      </c>
      <c r="BM44" s="527" t="s">
        <v>3</v>
      </c>
      <c r="BN44" s="527">
        <f>IF(ISNA(VLOOKUP(N44,Veg_Parameters!$A$3:$N$65,8,FALSE)), 0, (VLOOKUP($N44,Veg_Parameters!$A$3:$N$65,8,FALSE)))</f>
        <v>0</v>
      </c>
      <c r="BO44" s="527">
        <f>AH44*(IF(ISNA(VLOOKUP($N44,Veg_Parameters!$A$3:$N$65,9,FALSE)), 0, (VLOOKUP($N44,Veg_Parameters!$A$3:$N$65,9,FALSE))))</f>
        <v>0</v>
      </c>
      <c r="BP44" s="527" t="str">
        <f>IF(ISBLANK(N44),"0",VLOOKUP($N44,Veg_Parameters!$A$4:$U$65,21,))</f>
        <v>0</v>
      </c>
      <c r="BQ44" s="529">
        <f t="shared" ref="BQ44:BQ67" si="99">IF(BO44&gt;0, BN44*(1-EXP(-BO44*BI44/BN44)),0)</f>
        <v>0</v>
      </c>
      <c r="BR44" s="529">
        <f t="shared" ref="BR44:BR67" si="100">PI()*(0.5*BQ44)^2</f>
        <v>0</v>
      </c>
      <c r="BS44" s="529">
        <f t="shared" si="79"/>
        <v>0</v>
      </c>
      <c r="BT44" s="529">
        <f t="shared" ref="BT44:BT67" si="101">+IF(BK44&gt;4.6,BS44,0)</f>
        <v>0</v>
      </c>
      <c r="BU44" s="529">
        <f t="shared" ref="BU44:BU67" si="102">IF(AND(BK44&lt;4.6,BK44&gt;0.9),BS44,IF(BK44&gt;4.6,(0.5*BS44),0))</f>
        <v>0</v>
      </c>
      <c r="BV44" s="529">
        <f t="shared" ref="BV44:BV67" si="103">IF(AND(BK44&gt;0,BK44&lt;0.9),BS44,IF(AND(BK44&gt;0.9,BK44&lt;4.6),BS44*0.5,IF(BK44&gt;4.6,(BS44*0.25),0)))</f>
        <v>0</v>
      </c>
      <c r="BW44" s="532" t="str">
        <f t="shared" si="80"/>
        <v/>
      </c>
      <c r="BX44" s="532" t="str">
        <f t="shared" si="81"/>
        <v/>
      </c>
      <c r="BY44" s="532" t="str">
        <f t="shared" si="82"/>
        <v/>
      </c>
      <c r="BZ44" s="532" t="str">
        <f t="shared" si="83"/>
        <v/>
      </c>
      <c r="CA44" s="532">
        <f t="shared" si="84"/>
        <v>0</v>
      </c>
      <c r="CB44" s="533"/>
      <c r="CC44" s="624">
        <f t="shared" si="85"/>
        <v>0</v>
      </c>
      <c r="CD44" s="534">
        <f t="shared" si="86"/>
        <v>0</v>
      </c>
      <c r="CE44" s="534">
        <f t="shared" si="87"/>
        <v>0</v>
      </c>
      <c r="CF44" s="534">
        <f t="shared" si="88"/>
        <v>0</v>
      </c>
      <c r="CG44" s="534"/>
      <c r="CH44" s="534"/>
      <c r="CI44" s="534">
        <f t="shared" ref="CI44:CI67" si="104">BC44+CA44</f>
        <v>0</v>
      </c>
      <c r="CL44" s="534">
        <f>IF(ISNA(VLOOKUP(I44,Veg_Parameters!$A$3:$N$65,13,FALSE)),0,(VLOOKUP(I44,Veg_Parameters!$A$3:$N$65,13,FALSE)))</f>
        <v>0</v>
      </c>
      <c r="CM44" s="534">
        <f t="shared" ref="CM44:CM67" si="105">+IF(ISBLANK(A44),0,IF(CL44="H",BB44,0))</f>
        <v>0</v>
      </c>
      <c r="CN44" s="534">
        <f>IF(ISNA(VLOOKUP(N44,Veg_Parameters!$A$3:$N$65,13,FALSE)),0,(VLOOKUP(N44,Veg_Parameters!$A$3:$N$65,13,FALSE)))</f>
        <v>0</v>
      </c>
      <c r="CO44" s="523">
        <f t="shared" ref="CO44:CO67" si="106">+IF(ISBLANK(A44),0, IF(CN44="H", BV44, 0))</f>
        <v>0</v>
      </c>
    </row>
    <row r="45" spans="1:93" x14ac:dyDescent="0.2">
      <c r="A45" s="230"/>
      <c r="B45" s="171" t="str">
        <f t="shared" ref="B45:B67" si="107">IF(ISBLANK(A45),"",$B$43)</f>
        <v/>
      </c>
      <c r="C45" s="230"/>
      <c r="D45" s="169"/>
      <c r="E45" s="165"/>
      <c r="F45" s="165"/>
      <c r="G45" s="165"/>
      <c r="H45" s="165"/>
      <c r="I45" s="168"/>
      <c r="J45" s="167"/>
      <c r="K45" s="166"/>
      <c r="L45" s="166"/>
      <c r="M45" s="167"/>
      <c r="N45" s="168"/>
      <c r="O45" s="168"/>
      <c r="P45" s="167"/>
      <c r="Q45" s="167"/>
      <c r="R45" s="167"/>
      <c r="S45" s="222" t="str">
        <f>IF(ISBLANK(A45),"",IF(ISNA(VLOOKUP(I45,Veg_Parameters!$A$3:$N$65,3,FALSE)),0,(VLOOKUP(I45,Veg_Parameters!$A$3:$N$65,3,FALSE))))</f>
        <v/>
      </c>
      <c r="T45" s="222" t="str">
        <f>IF(ISBLANK(N45),"",IF(ISNA(VLOOKUP(N45,Veg_Parameters!$A$3:$N$65,3,FALSE)),0,(VLOOKUP(N45,Veg_Parameters!$A$3:$N$65,3,FALSE))))</f>
        <v/>
      </c>
      <c r="U45" s="523">
        <f t="shared" si="89"/>
        <v>0</v>
      </c>
      <c r="V45" s="523">
        <f t="shared" si="66"/>
        <v>0</v>
      </c>
      <c r="W45" s="524">
        <f>IF(ISBLANK(A45),0,IF(ISNA(VLOOKUP($I45,Veg_Parameters!$A$3:$N$65,10,FALSE)),0,(VLOOKUP($I45,Veg_Parameters!$A$3:$N$65,10,FALSE))))</f>
        <v>0</v>
      </c>
      <c r="X45" s="524">
        <f>IF(ISBLANK(A45),0,IF(ISNA(VLOOKUP($I45,Veg_Parameters!$A$3:$N$65,11,FALSE)),0,(VLOOKUP($I45,Veg_Parameters!$A$3:$N$65,11,FALSE))))</f>
        <v>0</v>
      </c>
      <c r="Y45" s="524">
        <f>IF(ISBLANK(A45),0,IF(ISNA(VLOOKUP($I45,Veg_Parameters!$A$3:$N$65,12,FALSE)),0,(VLOOKUP($I45,Veg_Parameters!$A$3:$N$65,12,FALSE))))</f>
        <v>0</v>
      </c>
      <c r="Z45" s="525">
        <f t="shared" si="1"/>
        <v>0</v>
      </c>
      <c r="AA45" s="525">
        <f t="shared" si="67"/>
        <v>0</v>
      </c>
      <c r="AB45" s="525">
        <f t="shared" si="68"/>
        <v>0</v>
      </c>
      <c r="AC45" s="524">
        <f>IF(ISBLANK(N45),0,IF(ISNA(VLOOKUP($N45,Veg_Parameters!$A$3:$N$65,10,FALSE)),0,(VLOOKUP($N45,Veg_Parameters!$A$3:$N$65,10,FALSE))))</f>
        <v>0</v>
      </c>
      <c r="AD45" s="524">
        <f>IF(ISBLANK(N45),0,IF(ISNA(VLOOKUP($N45,Veg_Parameters!$A$3:$N$65,11,FALSE)),0,(VLOOKUP($N45,Veg_Parameters!$A$3:$N$65,11,FALSE))))</f>
        <v>0</v>
      </c>
      <c r="AE45" s="524">
        <f>IF(ISBLANK(N45), 0, IF(ISNA(VLOOKUP($N45,Veg_Parameters!$A$3:$N$65,12,FALSE)),0,(VLOOKUP($N45,Veg_Parameters!$A$3:$N$65,12,FALSE))))</f>
        <v>0</v>
      </c>
      <c r="AF45" s="523">
        <f t="shared" si="69"/>
        <v>0</v>
      </c>
      <c r="AG45" s="523">
        <f t="shared" si="70"/>
        <v>0</v>
      </c>
      <c r="AH45" s="523">
        <f t="shared" si="71"/>
        <v>0</v>
      </c>
      <c r="AI45" s="526"/>
      <c r="AJ45" s="527">
        <f>AB45*(IF(ISNA(VLOOKUP($I45,Veg_Parameters!$A$3:$N$65,5,FALSE)),0,(VLOOKUP($I45,Veg_Parameters!$A$3:$N$65,5,FALSE))))</f>
        <v>0</v>
      </c>
      <c r="AK45" s="527">
        <f>IF(ISNA(VLOOKUP($I45,Veg_Parameters!$A$3:$N$65,4,FALSE)),0,(VLOOKUP($I45,Veg_Parameters!$A$3:$N$65,4,FALSE)))</f>
        <v>0</v>
      </c>
      <c r="AL45" s="527">
        <f>AB45*(IF(ISNA(VLOOKUP($I45,Veg_Parameters!$A$3:$N$65,7,FALSE)),0, (VLOOKUP($I45,Veg_Parameters!$A$3:$N$65,7,FALSE))))</f>
        <v>0</v>
      </c>
      <c r="AM45" s="528">
        <f>IF(ISNA(VLOOKUP($I45,Veg_Parameters!$A$3:$N$65,6,FALSE)), 0, (VLOOKUP($I45,Veg_Parameters!$A$3:$N$65,6,FALSE)))</f>
        <v>0</v>
      </c>
      <c r="AN45" s="529">
        <f t="shared" si="72"/>
        <v>20</v>
      </c>
      <c r="AO45" s="529">
        <f t="shared" si="73"/>
        <v>0</v>
      </c>
      <c r="AP45" s="529">
        <f t="shared" si="74"/>
        <v>0</v>
      </c>
      <c r="AQ45" s="530">
        <f t="shared" si="90"/>
        <v>0</v>
      </c>
      <c r="AR45" s="527" t="s">
        <v>3</v>
      </c>
      <c r="AS45" s="527">
        <f>IF(ISNA(VLOOKUP($I45,Veg_Parameters!$A$3:$N$65,8,FALSE)), 0, (VLOOKUP($I45,Veg_Parameters!$A$3:$N$65,8,FALSE)))</f>
        <v>0</v>
      </c>
      <c r="AT45" s="527">
        <f>AB45*(IF(ISNA(VLOOKUP($I45,Veg_Parameters!$A$3:$N$65,9,FALSE)), 0, (VLOOKUP($I45,Veg_Parameters!$A$3:$N$65,9,FALSE))))</f>
        <v>0</v>
      </c>
      <c r="AU45" s="527">
        <f>IF(ISBLANK(A45),0,VLOOKUP($I45,Veg_Parameters!$A$4:$U$65,21,))</f>
        <v>0</v>
      </c>
      <c r="AV45" s="527">
        <f t="shared" si="91"/>
        <v>0</v>
      </c>
      <c r="AW45" s="529">
        <f t="shared" si="92"/>
        <v>0</v>
      </c>
      <c r="AX45" s="529">
        <f t="shared" si="93"/>
        <v>0</v>
      </c>
      <c r="AY45" s="529">
        <f t="shared" si="75"/>
        <v>0</v>
      </c>
      <c r="AZ45" s="529">
        <f t="shared" si="94"/>
        <v>0</v>
      </c>
      <c r="BA45" s="529">
        <f t="shared" si="95"/>
        <v>0</v>
      </c>
      <c r="BB45" s="529">
        <f t="shared" si="96"/>
        <v>0</v>
      </c>
      <c r="BC45" s="529">
        <f t="shared" si="76"/>
        <v>0</v>
      </c>
      <c r="BD45" s="531"/>
      <c r="BE45" s="527">
        <f>AH45*(IF(ISNA(VLOOKUP($N45,Veg_Parameters!$A$3:$N$65,5,FALSE)),0,(VLOOKUP($N45,Veg_Parameters!$A$3:$N$65,5,FALSE))))</f>
        <v>0</v>
      </c>
      <c r="BF45" s="527">
        <f>IF(ISNA(VLOOKUP($N45,Veg_Parameters!$A$3:$N$65,4,FALSE)),0,(VLOOKUP($N45,Veg_Parameters!$A$3:$N$65,4,FALSE)))</f>
        <v>0</v>
      </c>
      <c r="BG45" s="527">
        <f>AH45*(IF(ISNA(VLOOKUP($N45,Veg_Parameters!$A$3:$N$65,7,FALSE)),0, (VLOOKUP($N45,Veg_Parameters!$A$3:$N$65,7,FALSE))))</f>
        <v>0</v>
      </c>
      <c r="BH45" s="527">
        <f>IF(ISNA(VLOOKUP($N45,Veg_Parameters!$A$3:$N$65,6,FALSE)), 0, (VLOOKUP($N45,Veg_Parameters!$A$3:$N$65,6,FALSE)))</f>
        <v>0</v>
      </c>
      <c r="BI45" s="529">
        <f t="shared" si="77"/>
        <v>20</v>
      </c>
      <c r="BJ45" s="529">
        <f t="shared" si="97"/>
        <v>0</v>
      </c>
      <c r="BK45" s="529">
        <f t="shared" si="78"/>
        <v>0</v>
      </c>
      <c r="BL45" s="530">
        <f t="shared" si="98"/>
        <v>0</v>
      </c>
      <c r="BM45" s="527" t="s">
        <v>3</v>
      </c>
      <c r="BN45" s="527">
        <f>IF(ISNA(VLOOKUP(N45,Veg_Parameters!$A$3:$N$65,8,FALSE)), 0, (VLOOKUP($N45,Veg_Parameters!$A$3:$N$65,8,FALSE)))</f>
        <v>0</v>
      </c>
      <c r="BO45" s="527">
        <f>AH45*(IF(ISNA(VLOOKUP($N45,Veg_Parameters!$A$3:$N$65,9,FALSE)), 0, (VLOOKUP($N45,Veg_Parameters!$A$3:$N$65,9,FALSE))))</f>
        <v>0</v>
      </c>
      <c r="BP45" s="527" t="str">
        <f>IF(ISBLANK(N45),"0",VLOOKUP($N45,Veg_Parameters!$A$4:$U$65,21,))</f>
        <v>0</v>
      </c>
      <c r="BQ45" s="529">
        <f t="shared" si="99"/>
        <v>0</v>
      </c>
      <c r="BR45" s="529">
        <f t="shared" si="100"/>
        <v>0</v>
      </c>
      <c r="BS45" s="529">
        <f t="shared" si="79"/>
        <v>0</v>
      </c>
      <c r="BT45" s="529">
        <f t="shared" si="101"/>
        <v>0</v>
      </c>
      <c r="BU45" s="529">
        <f t="shared" si="102"/>
        <v>0</v>
      </c>
      <c r="BV45" s="529">
        <f t="shared" si="103"/>
        <v>0</v>
      </c>
      <c r="BW45" s="532" t="str">
        <f t="shared" si="80"/>
        <v/>
      </c>
      <c r="BX45" s="532" t="str">
        <f t="shared" si="81"/>
        <v/>
      </c>
      <c r="BY45" s="532" t="str">
        <f t="shared" si="82"/>
        <v/>
      </c>
      <c r="BZ45" s="532" t="str">
        <f t="shared" si="83"/>
        <v/>
      </c>
      <c r="CA45" s="532">
        <f t="shared" si="84"/>
        <v>0</v>
      </c>
      <c r="CB45" s="533"/>
      <c r="CC45" s="624">
        <f t="shared" si="85"/>
        <v>0</v>
      </c>
      <c r="CD45" s="534">
        <f t="shared" si="86"/>
        <v>0</v>
      </c>
      <c r="CE45" s="534">
        <f t="shared" si="87"/>
        <v>0</v>
      </c>
      <c r="CF45" s="534">
        <f t="shared" si="88"/>
        <v>0</v>
      </c>
      <c r="CG45" s="534"/>
      <c r="CH45" s="534"/>
      <c r="CI45" s="534">
        <f t="shared" si="104"/>
        <v>0</v>
      </c>
      <c r="CL45" s="534">
        <f>IF(ISNA(VLOOKUP(I45,Veg_Parameters!$A$3:$N$65,13,FALSE)),0,(VLOOKUP(I45,Veg_Parameters!$A$3:$N$65,13,FALSE)))</f>
        <v>0</v>
      </c>
      <c r="CM45" s="534">
        <f t="shared" si="105"/>
        <v>0</v>
      </c>
      <c r="CN45" s="534">
        <f>IF(ISNA(VLOOKUP(N45,Veg_Parameters!$A$3:$N$65,13,FALSE)),0,(VLOOKUP(N45,Veg_Parameters!$A$3:$N$65,13,FALSE)))</f>
        <v>0</v>
      </c>
      <c r="CO45" s="523">
        <f t="shared" si="106"/>
        <v>0</v>
      </c>
    </row>
    <row r="46" spans="1:93" x14ac:dyDescent="0.2">
      <c r="A46" s="230"/>
      <c r="B46" s="171" t="str">
        <f t="shared" si="107"/>
        <v/>
      </c>
      <c r="C46" s="230"/>
      <c r="D46" s="169"/>
      <c r="E46" s="165"/>
      <c r="F46" s="165"/>
      <c r="G46" s="165"/>
      <c r="H46" s="165"/>
      <c r="I46" s="168"/>
      <c r="J46" s="167"/>
      <c r="K46" s="168"/>
      <c r="L46" s="167"/>
      <c r="M46" s="167"/>
      <c r="N46" s="168"/>
      <c r="O46" s="168"/>
      <c r="P46" s="167"/>
      <c r="Q46" s="167"/>
      <c r="R46" s="167"/>
      <c r="S46" s="222" t="str">
        <f>IF(ISBLANK(A46),"",IF(ISNA(VLOOKUP(I46,Veg_Parameters!$A$3:$N$65,3,FALSE)),0,(VLOOKUP(I46,Veg_Parameters!$A$3:$N$65,3,FALSE))))</f>
        <v/>
      </c>
      <c r="T46" s="222" t="str">
        <f>IF(ISBLANK(N46),"",IF(ISNA(VLOOKUP(N46,Veg_Parameters!$A$3:$N$65,3,FALSE)),0,(VLOOKUP(N46,Veg_Parameters!$A$3:$N$65,3,FALSE))))</f>
        <v/>
      </c>
      <c r="U46" s="523">
        <f t="shared" si="89"/>
        <v>0</v>
      </c>
      <c r="V46" s="523">
        <f t="shared" si="66"/>
        <v>0</v>
      </c>
      <c r="W46" s="524">
        <f>IF(ISBLANK(A46),0,IF(ISNA(VLOOKUP($I46,Veg_Parameters!$A$3:$N$65,10,FALSE)),0,(VLOOKUP($I46,Veg_Parameters!$A$3:$N$65,10,FALSE))))</f>
        <v>0</v>
      </c>
      <c r="X46" s="524">
        <f>IF(ISBLANK(A46),0,IF(ISNA(VLOOKUP($I46,Veg_Parameters!$A$3:$N$65,11,FALSE)),0,(VLOOKUP($I46,Veg_Parameters!$A$3:$N$65,11,FALSE))))</f>
        <v>0</v>
      </c>
      <c r="Y46" s="524">
        <f>IF(ISBLANK(A46),0,IF(ISNA(VLOOKUP($I46,Veg_Parameters!$A$3:$N$65,12,FALSE)),0,(VLOOKUP($I46,Veg_Parameters!$A$3:$N$65,12,FALSE))))</f>
        <v>0</v>
      </c>
      <c r="Z46" s="525">
        <f t="shared" si="1"/>
        <v>0</v>
      </c>
      <c r="AA46" s="525">
        <f t="shared" si="67"/>
        <v>0</v>
      </c>
      <c r="AB46" s="525">
        <f t="shared" si="68"/>
        <v>0</v>
      </c>
      <c r="AC46" s="524">
        <f>IF(ISBLANK(N46),0,IF(ISNA(VLOOKUP($N46,Veg_Parameters!$A$3:$N$65,10,FALSE)),0,(VLOOKUP($N46,Veg_Parameters!$A$3:$N$65,10,FALSE))))</f>
        <v>0</v>
      </c>
      <c r="AD46" s="524">
        <f>IF(ISBLANK(N46),0,IF(ISNA(VLOOKUP($N46,Veg_Parameters!$A$3:$N$65,11,FALSE)),0,(VLOOKUP($N46,Veg_Parameters!$A$3:$N$65,11,FALSE))))</f>
        <v>0</v>
      </c>
      <c r="AE46" s="524">
        <f>IF(ISBLANK(N46), 0, IF(ISNA(VLOOKUP($N46,Veg_Parameters!$A$3:$N$65,12,FALSE)),0,(VLOOKUP($N46,Veg_Parameters!$A$3:$N$65,12,FALSE))))</f>
        <v>0</v>
      </c>
      <c r="AF46" s="523">
        <f t="shared" si="69"/>
        <v>0</v>
      </c>
      <c r="AG46" s="523">
        <f t="shared" si="70"/>
        <v>0</v>
      </c>
      <c r="AH46" s="523">
        <f t="shared" si="71"/>
        <v>0</v>
      </c>
      <c r="AI46" s="526"/>
      <c r="AJ46" s="527">
        <f>AB46*(IF(ISNA(VLOOKUP($I46,Veg_Parameters!$A$3:$N$65,5,FALSE)),0,(VLOOKUP($I46,Veg_Parameters!$A$3:$N$65,5,FALSE))))</f>
        <v>0</v>
      </c>
      <c r="AK46" s="527">
        <f>IF(ISNA(VLOOKUP($I46,Veg_Parameters!$A$3:$N$65,4,FALSE)),0,(VLOOKUP($I46,Veg_Parameters!$A$3:$N$65,4,FALSE)))</f>
        <v>0</v>
      </c>
      <c r="AL46" s="527">
        <f>AB46*(IF(ISNA(VLOOKUP($I46,Veg_Parameters!$A$3:$N$65,7,FALSE)),0, (VLOOKUP($I46,Veg_Parameters!$A$3:$N$65,7,FALSE))))</f>
        <v>0</v>
      </c>
      <c r="AM46" s="528">
        <f>IF(ISNA(VLOOKUP($I46,Veg_Parameters!$A$3:$N$65,6,FALSE)), 0, (VLOOKUP($I46,Veg_Parameters!$A$3:$N$65,6,FALSE)))</f>
        <v>0</v>
      </c>
      <c r="AN46" s="529">
        <f t="shared" si="72"/>
        <v>20</v>
      </c>
      <c r="AO46" s="529">
        <f t="shared" si="73"/>
        <v>0</v>
      </c>
      <c r="AP46" s="529">
        <f t="shared" si="74"/>
        <v>0</v>
      </c>
      <c r="AQ46" s="530">
        <f t="shared" si="90"/>
        <v>0</v>
      </c>
      <c r="AR46" s="527" t="s">
        <v>3</v>
      </c>
      <c r="AS46" s="527">
        <f>IF(ISNA(VLOOKUP($I46,Veg_Parameters!$A$3:$N$65,8,FALSE)), 0, (VLOOKUP($I46,Veg_Parameters!$A$3:$N$65,8,FALSE)))</f>
        <v>0</v>
      </c>
      <c r="AT46" s="527">
        <f>AB46*(IF(ISNA(VLOOKUP($I46,Veg_Parameters!$A$3:$N$65,9,FALSE)), 0, (VLOOKUP($I46,Veg_Parameters!$A$3:$N$65,9,FALSE))))</f>
        <v>0</v>
      </c>
      <c r="AU46" s="527">
        <f>IF(ISBLANK(A46),0,VLOOKUP($I46,Veg_Parameters!$A$4:$U$65,21,))</f>
        <v>0</v>
      </c>
      <c r="AV46" s="527">
        <f t="shared" si="91"/>
        <v>0</v>
      </c>
      <c r="AW46" s="529">
        <f t="shared" si="92"/>
        <v>0</v>
      </c>
      <c r="AX46" s="529">
        <f t="shared" si="93"/>
        <v>0</v>
      </c>
      <c r="AY46" s="529">
        <f t="shared" si="75"/>
        <v>0</v>
      </c>
      <c r="AZ46" s="529">
        <f t="shared" si="94"/>
        <v>0</v>
      </c>
      <c r="BA46" s="529">
        <f t="shared" si="95"/>
        <v>0</v>
      </c>
      <c r="BB46" s="529">
        <f t="shared" si="96"/>
        <v>0</v>
      </c>
      <c r="BC46" s="529">
        <f t="shared" si="76"/>
        <v>0</v>
      </c>
      <c r="BD46" s="531"/>
      <c r="BE46" s="527">
        <f>AH46*(IF(ISNA(VLOOKUP($N46,Veg_Parameters!$A$3:$N$65,5,FALSE)),0,(VLOOKUP($N46,Veg_Parameters!$A$3:$N$65,5,FALSE))))</f>
        <v>0</v>
      </c>
      <c r="BF46" s="527">
        <f>IF(ISNA(VLOOKUP($N46,Veg_Parameters!$A$3:$N$65,4,FALSE)),0,(VLOOKUP($N46,Veg_Parameters!$A$3:$N$65,4,FALSE)))</f>
        <v>0</v>
      </c>
      <c r="BG46" s="527">
        <f>AH46*(IF(ISNA(VLOOKUP($N46,Veg_Parameters!$A$3:$N$65,7,FALSE)),0, (VLOOKUP($N46,Veg_Parameters!$A$3:$N$65,7,FALSE))))</f>
        <v>0</v>
      </c>
      <c r="BH46" s="527">
        <f>IF(ISNA(VLOOKUP($N46,Veg_Parameters!$A$3:$N$65,6,FALSE)), 0, (VLOOKUP($N46,Veg_Parameters!$A$3:$N$65,6,FALSE)))</f>
        <v>0</v>
      </c>
      <c r="BI46" s="529">
        <f t="shared" si="77"/>
        <v>20</v>
      </c>
      <c r="BJ46" s="529">
        <f t="shared" si="97"/>
        <v>0</v>
      </c>
      <c r="BK46" s="529">
        <f t="shared" si="78"/>
        <v>0</v>
      </c>
      <c r="BL46" s="530">
        <f t="shared" si="98"/>
        <v>0</v>
      </c>
      <c r="BM46" s="527" t="s">
        <v>3</v>
      </c>
      <c r="BN46" s="527">
        <f>IF(ISNA(VLOOKUP(N46,Veg_Parameters!$A$3:$N$65,8,FALSE)), 0, (VLOOKUP($N46,Veg_Parameters!$A$3:$N$65,8,FALSE)))</f>
        <v>0</v>
      </c>
      <c r="BO46" s="527">
        <f>AH46*(IF(ISNA(VLOOKUP($N46,Veg_Parameters!$A$3:$N$65,9,FALSE)), 0, (VLOOKUP($N46,Veg_Parameters!$A$3:$N$65,9,FALSE))))</f>
        <v>0</v>
      </c>
      <c r="BP46" s="527" t="str">
        <f>IF(ISBLANK(N46),"0",VLOOKUP($N46,Veg_Parameters!$A$4:$U$65,21,))</f>
        <v>0</v>
      </c>
      <c r="BQ46" s="529">
        <f t="shared" si="99"/>
        <v>0</v>
      </c>
      <c r="BR46" s="529">
        <f t="shared" si="100"/>
        <v>0</v>
      </c>
      <c r="BS46" s="529">
        <f t="shared" si="79"/>
        <v>0</v>
      </c>
      <c r="BT46" s="529">
        <f t="shared" si="101"/>
        <v>0</v>
      </c>
      <c r="BU46" s="529">
        <f t="shared" si="102"/>
        <v>0</v>
      </c>
      <c r="BV46" s="529">
        <f t="shared" si="103"/>
        <v>0</v>
      </c>
      <c r="BW46" s="532" t="str">
        <f t="shared" si="80"/>
        <v/>
      </c>
      <c r="BX46" s="532" t="str">
        <f t="shared" si="81"/>
        <v/>
      </c>
      <c r="BY46" s="532" t="str">
        <f t="shared" si="82"/>
        <v/>
      </c>
      <c r="BZ46" s="532" t="str">
        <f t="shared" si="83"/>
        <v/>
      </c>
      <c r="CA46" s="532">
        <f t="shared" si="84"/>
        <v>0</v>
      </c>
      <c r="CB46" s="533"/>
      <c r="CC46" s="624">
        <f t="shared" si="85"/>
        <v>0</v>
      </c>
      <c r="CD46" s="534">
        <f t="shared" si="86"/>
        <v>0</v>
      </c>
      <c r="CE46" s="534">
        <f t="shared" si="87"/>
        <v>0</v>
      </c>
      <c r="CF46" s="534">
        <f t="shared" si="88"/>
        <v>0</v>
      </c>
      <c r="CG46" s="534"/>
      <c r="CH46" s="534"/>
      <c r="CI46" s="534">
        <f t="shared" si="104"/>
        <v>0</v>
      </c>
      <c r="CL46" s="534">
        <f>IF(ISNA(VLOOKUP(I46,Veg_Parameters!$A$3:$N$65,13,FALSE)),0,(VLOOKUP(I46,Veg_Parameters!$A$3:$N$65,13,FALSE)))</f>
        <v>0</v>
      </c>
      <c r="CM46" s="534">
        <f t="shared" si="105"/>
        <v>0</v>
      </c>
      <c r="CN46" s="534">
        <f>IF(ISNA(VLOOKUP(N46,Veg_Parameters!$A$3:$N$65,13,FALSE)),0,(VLOOKUP(N46,Veg_Parameters!$A$3:$N$65,13,FALSE)))</f>
        <v>0</v>
      </c>
      <c r="CO46" s="523">
        <f t="shared" si="106"/>
        <v>0</v>
      </c>
    </row>
    <row r="47" spans="1:93" x14ac:dyDescent="0.2">
      <c r="A47" s="230"/>
      <c r="B47" s="171" t="str">
        <f t="shared" si="107"/>
        <v/>
      </c>
      <c r="C47" s="230"/>
      <c r="D47" s="169"/>
      <c r="E47" s="165"/>
      <c r="F47" s="165"/>
      <c r="G47" s="165"/>
      <c r="H47" s="165"/>
      <c r="I47" s="168"/>
      <c r="J47" s="167"/>
      <c r="K47" s="168"/>
      <c r="L47" s="167"/>
      <c r="M47" s="167"/>
      <c r="N47" s="168"/>
      <c r="O47" s="168"/>
      <c r="P47" s="167"/>
      <c r="Q47" s="167"/>
      <c r="R47" s="167"/>
      <c r="S47" s="222" t="str">
        <f>IF(ISBLANK(A47),"",IF(ISNA(VLOOKUP(I47,Veg_Parameters!$A$3:$N$65,3,FALSE)),0,(VLOOKUP(I47,Veg_Parameters!$A$3:$N$65,3,FALSE))))</f>
        <v/>
      </c>
      <c r="T47" s="222" t="str">
        <f>IF(ISBLANK(N47),"",IF(ISNA(VLOOKUP(N47,Veg_Parameters!$A$3:$N$65,3,FALSE)),0,(VLOOKUP(N47,Veg_Parameters!$A$3:$N$65,3,FALSE))))</f>
        <v/>
      </c>
      <c r="U47" s="523">
        <f t="shared" si="89"/>
        <v>0</v>
      </c>
      <c r="V47" s="523">
        <f t="shared" si="66"/>
        <v>0</v>
      </c>
      <c r="W47" s="524">
        <f>IF(ISBLANK(A47),0,IF(ISNA(VLOOKUP($I47,Veg_Parameters!$A$3:$N$65,10,FALSE)),0,(VLOOKUP($I47,Veg_Parameters!$A$3:$N$65,10,FALSE))))</f>
        <v>0</v>
      </c>
      <c r="X47" s="524">
        <f>IF(ISBLANK(A47),0,IF(ISNA(VLOOKUP($I47,Veg_Parameters!$A$3:$N$65,11,FALSE)),0,(VLOOKUP($I47,Veg_Parameters!$A$3:$N$65,11,FALSE))))</f>
        <v>0</v>
      </c>
      <c r="Y47" s="524">
        <f>IF(ISBLANK(A47),0,IF(ISNA(VLOOKUP($I47,Veg_Parameters!$A$3:$N$65,12,FALSE)),0,(VLOOKUP($I47,Veg_Parameters!$A$3:$N$65,12,FALSE))))</f>
        <v>0</v>
      </c>
      <c r="Z47" s="525">
        <f t="shared" si="1"/>
        <v>0</v>
      </c>
      <c r="AA47" s="525">
        <f t="shared" si="67"/>
        <v>0</v>
      </c>
      <c r="AB47" s="525">
        <f t="shared" si="68"/>
        <v>0</v>
      </c>
      <c r="AC47" s="524">
        <f>IF(ISBLANK(N47),0,IF(ISNA(VLOOKUP($N47,Veg_Parameters!$A$3:$N$65,10,FALSE)),0,(VLOOKUP($N47,Veg_Parameters!$A$3:$N$65,10,FALSE))))</f>
        <v>0</v>
      </c>
      <c r="AD47" s="524">
        <f>IF(ISBLANK(N47),0,IF(ISNA(VLOOKUP($N47,Veg_Parameters!$A$3:$N$65,11,FALSE)),0,(VLOOKUP($N47,Veg_Parameters!$A$3:$N$65,11,FALSE))))</f>
        <v>0</v>
      </c>
      <c r="AE47" s="524">
        <f>IF(ISBLANK(N47), 0, IF(ISNA(VLOOKUP($N47,Veg_Parameters!$A$3:$N$65,12,FALSE)),0,(VLOOKUP($N47,Veg_Parameters!$A$3:$N$65,12,FALSE))))</f>
        <v>0</v>
      </c>
      <c r="AF47" s="523">
        <f t="shared" si="69"/>
        <v>0</v>
      </c>
      <c r="AG47" s="523">
        <f t="shared" si="70"/>
        <v>0</v>
      </c>
      <c r="AH47" s="523">
        <f t="shared" si="71"/>
        <v>0</v>
      </c>
      <c r="AI47" s="526"/>
      <c r="AJ47" s="527">
        <f>AB47*(IF(ISNA(VLOOKUP($I47,Veg_Parameters!$A$3:$N$65,5,FALSE)),0,(VLOOKUP($I47,Veg_Parameters!$A$3:$N$65,5,FALSE))))</f>
        <v>0</v>
      </c>
      <c r="AK47" s="527">
        <f>IF(ISNA(VLOOKUP($I47,Veg_Parameters!$A$3:$N$65,4,FALSE)),0,(VLOOKUP($I47,Veg_Parameters!$A$3:$N$65,4,FALSE)))</f>
        <v>0</v>
      </c>
      <c r="AL47" s="527">
        <f>AB47*(IF(ISNA(VLOOKUP($I47,Veg_Parameters!$A$3:$N$65,7,FALSE)),0, (VLOOKUP($I47,Veg_Parameters!$A$3:$N$65,7,FALSE))))</f>
        <v>0</v>
      </c>
      <c r="AM47" s="528">
        <f>IF(ISNA(VLOOKUP($I47,Veg_Parameters!$A$3:$N$65,6,FALSE)), 0, (VLOOKUP($I47,Veg_Parameters!$A$3:$N$65,6,FALSE)))</f>
        <v>0</v>
      </c>
      <c r="AN47" s="529">
        <f t="shared" si="72"/>
        <v>20</v>
      </c>
      <c r="AO47" s="529">
        <f t="shared" si="73"/>
        <v>0</v>
      </c>
      <c r="AP47" s="529">
        <f t="shared" si="74"/>
        <v>0</v>
      </c>
      <c r="AQ47" s="530">
        <f t="shared" si="90"/>
        <v>0</v>
      </c>
      <c r="AR47" s="527" t="s">
        <v>3</v>
      </c>
      <c r="AS47" s="527">
        <f>IF(ISNA(VLOOKUP($I47,Veg_Parameters!$A$3:$N$65,8,FALSE)), 0, (VLOOKUP($I47,Veg_Parameters!$A$3:$N$65,8,FALSE)))</f>
        <v>0</v>
      </c>
      <c r="AT47" s="527">
        <f>AB47*(IF(ISNA(VLOOKUP($I47,Veg_Parameters!$A$3:$N$65,9,FALSE)), 0, (VLOOKUP($I47,Veg_Parameters!$A$3:$N$65,9,FALSE))))</f>
        <v>0</v>
      </c>
      <c r="AU47" s="527">
        <f>IF(ISBLANK(A47),0,VLOOKUP($I47,Veg_Parameters!$A$4:$U$65,21,))</f>
        <v>0</v>
      </c>
      <c r="AV47" s="527">
        <f t="shared" si="91"/>
        <v>0</v>
      </c>
      <c r="AW47" s="529">
        <f t="shared" si="92"/>
        <v>0</v>
      </c>
      <c r="AX47" s="529">
        <f t="shared" si="93"/>
        <v>0</v>
      </c>
      <c r="AY47" s="529">
        <f t="shared" si="75"/>
        <v>0</v>
      </c>
      <c r="AZ47" s="529">
        <f t="shared" si="94"/>
        <v>0</v>
      </c>
      <c r="BA47" s="529">
        <f t="shared" si="95"/>
        <v>0</v>
      </c>
      <c r="BB47" s="529">
        <f t="shared" si="96"/>
        <v>0</v>
      </c>
      <c r="BC47" s="529">
        <f t="shared" si="76"/>
        <v>0</v>
      </c>
      <c r="BD47" s="531"/>
      <c r="BE47" s="527">
        <f>AH47*(IF(ISNA(VLOOKUP($N47,Veg_Parameters!$A$3:$N$65,5,FALSE)),0,(VLOOKUP($N47,Veg_Parameters!$A$3:$N$65,5,FALSE))))</f>
        <v>0</v>
      </c>
      <c r="BF47" s="527">
        <f>IF(ISNA(VLOOKUP($N47,Veg_Parameters!$A$3:$N$65,4,FALSE)),0,(VLOOKUP($N47,Veg_Parameters!$A$3:$N$65,4,FALSE)))</f>
        <v>0</v>
      </c>
      <c r="BG47" s="527">
        <f>AH47*(IF(ISNA(VLOOKUP($N47,Veg_Parameters!$A$3:$N$65,7,FALSE)),0, (VLOOKUP($N47,Veg_Parameters!$A$3:$N$65,7,FALSE))))</f>
        <v>0</v>
      </c>
      <c r="BH47" s="527">
        <f>IF(ISNA(VLOOKUP($N47,Veg_Parameters!$A$3:$N$65,6,FALSE)), 0, (VLOOKUP($N47,Veg_Parameters!$A$3:$N$65,6,FALSE)))</f>
        <v>0</v>
      </c>
      <c r="BI47" s="529">
        <f t="shared" si="77"/>
        <v>20</v>
      </c>
      <c r="BJ47" s="529">
        <f t="shared" si="97"/>
        <v>0</v>
      </c>
      <c r="BK47" s="529">
        <f t="shared" si="78"/>
        <v>0</v>
      </c>
      <c r="BL47" s="530">
        <f t="shared" si="98"/>
        <v>0</v>
      </c>
      <c r="BM47" s="527" t="s">
        <v>3</v>
      </c>
      <c r="BN47" s="527">
        <f>IF(ISNA(VLOOKUP(N47,Veg_Parameters!$A$3:$N$65,8,FALSE)), 0, (VLOOKUP($N47,Veg_Parameters!$A$3:$N$65,8,FALSE)))</f>
        <v>0</v>
      </c>
      <c r="BO47" s="527">
        <f>AH47*(IF(ISNA(VLOOKUP($N47,Veg_Parameters!$A$3:$N$65,9,FALSE)), 0, (VLOOKUP($N47,Veg_Parameters!$A$3:$N$65,9,FALSE))))</f>
        <v>0</v>
      </c>
      <c r="BP47" s="527" t="str">
        <f>IF(ISBLANK(N47),"0",VLOOKUP($N47,Veg_Parameters!$A$4:$U$65,21,))</f>
        <v>0</v>
      </c>
      <c r="BQ47" s="529">
        <f t="shared" si="99"/>
        <v>0</v>
      </c>
      <c r="BR47" s="529">
        <f t="shared" si="100"/>
        <v>0</v>
      </c>
      <c r="BS47" s="529">
        <f t="shared" si="79"/>
        <v>0</v>
      </c>
      <c r="BT47" s="529">
        <f t="shared" si="101"/>
        <v>0</v>
      </c>
      <c r="BU47" s="529">
        <f t="shared" si="102"/>
        <v>0</v>
      </c>
      <c r="BV47" s="529">
        <f t="shared" si="103"/>
        <v>0</v>
      </c>
      <c r="BW47" s="532" t="str">
        <f t="shared" si="80"/>
        <v/>
      </c>
      <c r="BX47" s="532" t="str">
        <f t="shared" si="81"/>
        <v/>
      </c>
      <c r="BY47" s="532" t="str">
        <f t="shared" si="82"/>
        <v/>
      </c>
      <c r="BZ47" s="532" t="str">
        <f t="shared" si="83"/>
        <v/>
      </c>
      <c r="CA47" s="532">
        <f t="shared" si="84"/>
        <v>0</v>
      </c>
      <c r="CB47" s="533"/>
      <c r="CC47" s="624">
        <f t="shared" si="85"/>
        <v>0</v>
      </c>
      <c r="CD47" s="534">
        <f t="shared" si="86"/>
        <v>0</v>
      </c>
      <c r="CE47" s="534">
        <f t="shared" si="87"/>
        <v>0</v>
      </c>
      <c r="CF47" s="534">
        <f t="shared" si="88"/>
        <v>0</v>
      </c>
      <c r="CG47" s="534"/>
      <c r="CH47" s="534"/>
      <c r="CI47" s="534">
        <f t="shared" si="104"/>
        <v>0</v>
      </c>
      <c r="CL47" s="534">
        <f>IF(ISNA(VLOOKUP(I47,Veg_Parameters!$A$3:$N$65,13,FALSE)),0,(VLOOKUP(I47,Veg_Parameters!$A$3:$N$65,13,FALSE)))</f>
        <v>0</v>
      </c>
      <c r="CM47" s="534">
        <f t="shared" si="105"/>
        <v>0</v>
      </c>
      <c r="CN47" s="534">
        <f>IF(ISNA(VLOOKUP(N47,Veg_Parameters!$A$3:$N$65,13,FALSE)),0,(VLOOKUP(N47,Veg_Parameters!$A$3:$N$65,13,FALSE)))</f>
        <v>0</v>
      </c>
      <c r="CO47" s="523">
        <f t="shared" si="106"/>
        <v>0</v>
      </c>
    </row>
    <row r="48" spans="1:93" x14ac:dyDescent="0.2">
      <c r="A48" s="230"/>
      <c r="B48" s="171" t="str">
        <f t="shared" si="107"/>
        <v/>
      </c>
      <c r="C48" s="230"/>
      <c r="D48" s="169"/>
      <c r="E48" s="165"/>
      <c r="F48" s="165"/>
      <c r="G48" s="165"/>
      <c r="H48" s="165"/>
      <c r="I48" s="168"/>
      <c r="J48" s="167"/>
      <c r="K48" s="168"/>
      <c r="L48" s="167"/>
      <c r="M48" s="167"/>
      <c r="N48" s="168"/>
      <c r="O48" s="168"/>
      <c r="P48" s="167"/>
      <c r="Q48" s="167"/>
      <c r="R48" s="167"/>
      <c r="S48" s="222" t="str">
        <f>IF(ISBLANK(A48),"",IF(ISNA(VLOOKUP(I48,Veg_Parameters!$A$3:$N$65,3,FALSE)),0,(VLOOKUP(I48,Veg_Parameters!$A$3:$N$65,3,FALSE))))</f>
        <v/>
      </c>
      <c r="T48" s="222" t="str">
        <f>IF(ISBLANK(N48),"",IF(ISNA(VLOOKUP(N48,Veg_Parameters!$A$3:$N$65,3,FALSE)),0,(VLOOKUP(N48,Veg_Parameters!$A$3:$N$65,3,FALSE))))</f>
        <v/>
      </c>
      <c r="U48" s="523">
        <f t="shared" si="89"/>
        <v>0</v>
      </c>
      <c r="V48" s="523">
        <f t="shared" si="66"/>
        <v>0</v>
      </c>
      <c r="W48" s="524">
        <f>IF(ISBLANK(A48),0,IF(ISNA(VLOOKUP($I48,Veg_Parameters!$A$3:$N$65,10,FALSE)),0,(VLOOKUP($I48,Veg_Parameters!$A$3:$N$65,10,FALSE))))</f>
        <v>0</v>
      </c>
      <c r="X48" s="524">
        <f>IF(ISBLANK(A48),0,IF(ISNA(VLOOKUP($I48,Veg_Parameters!$A$3:$N$65,11,FALSE)),0,(VLOOKUP($I48,Veg_Parameters!$A$3:$N$65,11,FALSE))))</f>
        <v>0</v>
      </c>
      <c r="Y48" s="524">
        <f>IF(ISBLANK(A48),0,IF(ISNA(VLOOKUP($I48,Veg_Parameters!$A$3:$N$65,12,FALSE)),0,(VLOOKUP($I48,Veg_Parameters!$A$3:$N$65,12,FALSE))))</f>
        <v>0</v>
      </c>
      <c r="Z48" s="525">
        <f t="shared" si="1"/>
        <v>0</v>
      </c>
      <c r="AA48" s="525">
        <f t="shared" si="67"/>
        <v>0</v>
      </c>
      <c r="AB48" s="525">
        <f t="shared" si="68"/>
        <v>0</v>
      </c>
      <c r="AC48" s="524">
        <f>IF(ISBLANK(N48),0,IF(ISNA(VLOOKUP($N48,Veg_Parameters!$A$3:$N$65,10,FALSE)),0,(VLOOKUP($N48,Veg_Parameters!$A$3:$N$65,10,FALSE))))</f>
        <v>0</v>
      </c>
      <c r="AD48" s="524">
        <f>IF(ISBLANK(N48),0,IF(ISNA(VLOOKUP($N48,Veg_Parameters!$A$3:$N$65,11,FALSE)),0,(VLOOKUP($N48,Veg_Parameters!$A$3:$N$65,11,FALSE))))</f>
        <v>0</v>
      </c>
      <c r="AE48" s="524">
        <f>IF(ISBLANK(N48), 0, IF(ISNA(VLOOKUP($N48,Veg_Parameters!$A$3:$N$65,12,FALSE)),0,(VLOOKUP($N48,Veg_Parameters!$A$3:$N$65,12,FALSE))))</f>
        <v>0</v>
      </c>
      <c r="AF48" s="523">
        <f t="shared" si="69"/>
        <v>0</v>
      </c>
      <c r="AG48" s="523">
        <f t="shared" si="70"/>
        <v>0</v>
      </c>
      <c r="AH48" s="523">
        <f t="shared" si="71"/>
        <v>0</v>
      </c>
      <c r="AI48" s="526"/>
      <c r="AJ48" s="527">
        <f>AB48*(IF(ISNA(VLOOKUP($I48,Veg_Parameters!$A$3:$N$65,5,FALSE)),0,(VLOOKUP($I48,Veg_Parameters!$A$3:$N$65,5,FALSE))))</f>
        <v>0</v>
      </c>
      <c r="AK48" s="527">
        <f>IF(ISNA(VLOOKUP($I48,Veg_Parameters!$A$3:$N$65,4,FALSE)),0,(VLOOKUP($I48,Veg_Parameters!$A$3:$N$65,4,FALSE)))</f>
        <v>0</v>
      </c>
      <c r="AL48" s="527">
        <f>AB48*(IF(ISNA(VLOOKUP($I48,Veg_Parameters!$A$3:$N$65,7,FALSE)),0, (VLOOKUP($I48,Veg_Parameters!$A$3:$N$65,7,FALSE))))</f>
        <v>0</v>
      </c>
      <c r="AM48" s="528">
        <f>IF(ISNA(VLOOKUP($I48,Veg_Parameters!$A$3:$N$65,6,FALSE)), 0, (VLOOKUP($I48,Veg_Parameters!$A$3:$N$65,6,FALSE)))</f>
        <v>0</v>
      </c>
      <c r="AN48" s="529">
        <f t="shared" si="72"/>
        <v>20</v>
      </c>
      <c r="AO48" s="529">
        <f t="shared" si="73"/>
        <v>0</v>
      </c>
      <c r="AP48" s="529">
        <f t="shared" si="74"/>
        <v>0</v>
      </c>
      <c r="AQ48" s="530">
        <f t="shared" si="90"/>
        <v>0</v>
      </c>
      <c r="AR48" s="527" t="s">
        <v>3</v>
      </c>
      <c r="AS48" s="527">
        <f>IF(ISNA(VLOOKUP($I48,Veg_Parameters!$A$3:$N$65,8,FALSE)), 0, (VLOOKUP($I48,Veg_Parameters!$A$3:$N$65,8,FALSE)))</f>
        <v>0</v>
      </c>
      <c r="AT48" s="527">
        <f>AB48*(IF(ISNA(VLOOKUP($I48,Veg_Parameters!$A$3:$N$65,9,FALSE)), 0, (VLOOKUP($I48,Veg_Parameters!$A$3:$N$65,9,FALSE))))</f>
        <v>0</v>
      </c>
      <c r="AU48" s="527">
        <f>IF(ISBLANK(A48),0,VLOOKUP($I48,Veg_Parameters!$A$4:$U$65,21,))</f>
        <v>0</v>
      </c>
      <c r="AV48" s="527">
        <f t="shared" si="91"/>
        <v>0</v>
      </c>
      <c r="AW48" s="529">
        <f t="shared" si="92"/>
        <v>0</v>
      </c>
      <c r="AX48" s="529">
        <f t="shared" si="93"/>
        <v>0</v>
      </c>
      <c r="AY48" s="529">
        <f t="shared" si="75"/>
        <v>0</v>
      </c>
      <c r="AZ48" s="529">
        <f t="shared" si="94"/>
        <v>0</v>
      </c>
      <c r="BA48" s="529">
        <f t="shared" si="95"/>
        <v>0</v>
      </c>
      <c r="BB48" s="529">
        <f t="shared" si="96"/>
        <v>0</v>
      </c>
      <c r="BC48" s="529">
        <f t="shared" si="76"/>
        <v>0</v>
      </c>
      <c r="BD48" s="531"/>
      <c r="BE48" s="527">
        <f>AH48*(IF(ISNA(VLOOKUP($N48,Veg_Parameters!$A$3:$N$65,5,FALSE)),0,(VLOOKUP($N48,Veg_Parameters!$A$3:$N$65,5,FALSE))))</f>
        <v>0</v>
      </c>
      <c r="BF48" s="527">
        <f>IF(ISNA(VLOOKUP($N48,Veg_Parameters!$A$3:$N$65,4,FALSE)),0,(VLOOKUP($N48,Veg_Parameters!$A$3:$N$65,4,FALSE)))</f>
        <v>0</v>
      </c>
      <c r="BG48" s="527">
        <f>AH48*(IF(ISNA(VLOOKUP($N48,Veg_Parameters!$A$3:$N$65,7,FALSE)),0, (VLOOKUP($N48,Veg_Parameters!$A$3:$N$65,7,FALSE))))</f>
        <v>0</v>
      </c>
      <c r="BH48" s="527">
        <f>IF(ISNA(VLOOKUP($N48,Veg_Parameters!$A$3:$N$65,6,FALSE)), 0, (VLOOKUP($N48,Veg_Parameters!$A$3:$N$65,6,FALSE)))</f>
        <v>0</v>
      </c>
      <c r="BI48" s="529">
        <f t="shared" si="77"/>
        <v>20</v>
      </c>
      <c r="BJ48" s="529">
        <f t="shared" si="97"/>
        <v>0</v>
      </c>
      <c r="BK48" s="529">
        <f t="shared" si="78"/>
        <v>0</v>
      </c>
      <c r="BL48" s="530">
        <f t="shared" si="98"/>
        <v>0</v>
      </c>
      <c r="BM48" s="527" t="s">
        <v>3</v>
      </c>
      <c r="BN48" s="527">
        <f>IF(ISNA(VLOOKUP(N48,Veg_Parameters!$A$3:$N$65,8,FALSE)), 0, (VLOOKUP($N48,Veg_Parameters!$A$3:$N$65,8,FALSE)))</f>
        <v>0</v>
      </c>
      <c r="BO48" s="527">
        <f>AH48*(IF(ISNA(VLOOKUP($N48,Veg_Parameters!$A$3:$N$65,9,FALSE)), 0, (VLOOKUP($N48,Veg_Parameters!$A$3:$N$65,9,FALSE))))</f>
        <v>0</v>
      </c>
      <c r="BP48" s="527" t="str">
        <f>IF(ISBLANK(N48),"0",VLOOKUP($N48,Veg_Parameters!$A$4:$U$65,21,))</f>
        <v>0</v>
      </c>
      <c r="BQ48" s="529">
        <f t="shared" si="99"/>
        <v>0</v>
      </c>
      <c r="BR48" s="529">
        <f t="shared" si="100"/>
        <v>0</v>
      </c>
      <c r="BS48" s="529">
        <f t="shared" si="79"/>
        <v>0</v>
      </c>
      <c r="BT48" s="529">
        <f t="shared" si="101"/>
        <v>0</v>
      </c>
      <c r="BU48" s="529">
        <f t="shared" si="102"/>
        <v>0</v>
      </c>
      <c r="BV48" s="529">
        <f t="shared" si="103"/>
        <v>0</v>
      </c>
      <c r="BW48" s="532" t="str">
        <f t="shared" si="80"/>
        <v/>
      </c>
      <c r="BX48" s="532" t="str">
        <f t="shared" si="81"/>
        <v/>
      </c>
      <c r="BY48" s="532" t="str">
        <f t="shared" si="82"/>
        <v/>
      </c>
      <c r="BZ48" s="532" t="str">
        <f t="shared" si="83"/>
        <v/>
      </c>
      <c r="CA48" s="532">
        <f t="shared" si="84"/>
        <v>0</v>
      </c>
      <c r="CB48" s="533"/>
      <c r="CC48" s="624">
        <f t="shared" si="85"/>
        <v>0</v>
      </c>
      <c r="CD48" s="534">
        <f t="shared" si="86"/>
        <v>0</v>
      </c>
      <c r="CE48" s="534">
        <f t="shared" si="87"/>
        <v>0</v>
      </c>
      <c r="CF48" s="534">
        <f t="shared" si="88"/>
        <v>0</v>
      </c>
      <c r="CG48" s="534"/>
      <c r="CH48" s="534"/>
      <c r="CI48" s="534">
        <f t="shared" si="104"/>
        <v>0</v>
      </c>
      <c r="CL48" s="534">
        <f>IF(ISNA(VLOOKUP(I48,Veg_Parameters!$A$3:$N$65,13,FALSE)),0,(VLOOKUP(I48,Veg_Parameters!$A$3:$N$65,13,FALSE)))</f>
        <v>0</v>
      </c>
      <c r="CM48" s="534">
        <f t="shared" si="105"/>
        <v>0</v>
      </c>
      <c r="CN48" s="534">
        <f>IF(ISNA(VLOOKUP(N48,Veg_Parameters!$A$3:$N$65,13,FALSE)),0,(VLOOKUP(N48,Veg_Parameters!$A$3:$N$65,13,FALSE)))</f>
        <v>0</v>
      </c>
      <c r="CO48" s="523">
        <f t="shared" si="106"/>
        <v>0</v>
      </c>
    </row>
    <row r="49" spans="1:93" x14ac:dyDescent="0.2">
      <c r="A49" s="230"/>
      <c r="B49" s="171" t="str">
        <f t="shared" si="107"/>
        <v/>
      </c>
      <c r="C49" s="230"/>
      <c r="D49" s="169"/>
      <c r="E49" s="165"/>
      <c r="F49" s="165"/>
      <c r="G49" s="165"/>
      <c r="H49" s="165"/>
      <c r="I49" s="168"/>
      <c r="J49" s="167"/>
      <c r="K49" s="168"/>
      <c r="L49" s="167"/>
      <c r="M49" s="167"/>
      <c r="N49" s="168"/>
      <c r="O49" s="168"/>
      <c r="P49" s="167"/>
      <c r="Q49" s="167"/>
      <c r="R49" s="167"/>
      <c r="S49" s="222" t="str">
        <f>IF(ISBLANK(A49),"",IF(ISNA(VLOOKUP(I49,Veg_Parameters!$A$3:$N$65,3,FALSE)),0,(VLOOKUP(I49,Veg_Parameters!$A$3:$N$65,3,FALSE))))</f>
        <v/>
      </c>
      <c r="T49" s="222" t="str">
        <f>IF(ISBLANK(N49),"",IF(ISNA(VLOOKUP(N49,Veg_Parameters!$A$3:$N$65,3,FALSE)),0,(VLOOKUP(N49,Veg_Parameters!$A$3:$N$65,3,FALSE))))</f>
        <v/>
      </c>
      <c r="U49" s="523">
        <f t="shared" si="89"/>
        <v>0</v>
      </c>
      <c r="V49" s="523">
        <f t="shared" si="66"/>
        <v>0</v>
      </c>
      <c r="W49" s="524">
        <f>IF(ISBLANK(A49),0,IF(ISNA(VLOOKUP($I49,Veg_Parameters!$A$3:$N$65,10,FALSE)),0,(VLOOKUP($I49,Veg_Parameters!$A$3:$N$65,10,FALSE))))</f>
        <v>0</v>
      </c>
      <c r="X49" s="524">
        <f>IF(ISBLANK(A49),0,IF(ISNA(VLOOKUP($I49,Veg_Parameters!$A$3:$N$65,11,FALSE)),0,(VLOOKUP($I49,Veg_Parameters!$A$3:$N$65,11,FALSE))))</f>
        <v>0</v>
      </c>
      <c r="Y49" s="524">
        <f>IF(ISBLANK(A49),0,IF(ISNA(VLOOKUP($I49,Veg_Parameters!$A$3:$N$65,12,FALSE)),0,(VLOOKUP($I49,Veg_Parameters!$A$3:$N$65,12,FALSE))))</f>
        <v>0</v>
      </c>
      <c r="Z49" s="525">
        <f t="shared" si="1"/>
        <v>0</v>
      </c>
      <c r="AA49" s="525">
        <f t="shared" si="67"/>
        <v>0</v>
      </c>
      <c r="AB49" s="525">
        <f t="shared" si="68"/>
        <v>0</v>
      </c>
      <c r="AC49" s="524">
        <f>IF(ISBLANK(N49),0,IF(ISNA(VLOOKUP($N49,Veg_Parameters!$A$3:$N$65,10,FALSE)),0,(VLOOKUP($N49,Veg_Parameters!$A$3:$N$65,10,FALSE))))</f>
        <v>0</v>
      </c>
      <c r="AD49" s="524">
        <f>IF(ISBLANK(N49),0,IF(ISNA(VLOOKUP($N49,Veg_Parameters!$A$3:$N$65,11,FALSE)),0,(VLOOKUP($N49,Veg_Parameters!$A$3:$N$65,11,FALSE))))</f>
        <v>0</v>
      </c>
      <c r="AE49" s="524">
        <f>IF(ISBLANK(N49), 0, IF(ISNA(VLOOKUP($N49,Veg_Parameters!$A$3:$N$65,12,FALSE)),0,(VLOOKUP($N49,Veg_Parameters!$A$3:$N$65,12,FALSE))))</f>
        <v>0</v>
      </c>
      <c r="AF49" s="523">
        <f t="shared" si="69"/>
        <v>0</v>
      </c>
      <c r="AG49" s="523">
        <f t="shared" si="70"/>
        <v>0</v>
      </c>
      <c r="AH49" s="523">
        <f t="shared" si="71"/>
        <v>0</v>
      </c>
      <c r="AI49" s="526"/>
      <c r="AJ49" s="527">
        <f>AB49*(IF(ISNA(VLOOKUP($I49,Veg_Parameters!$A$3:$N$65,5,FALSE)),0,(VLOOKUP($I49,Veg_Parameters!$A$3:$N$65,5,FALSE))))</f>
        <v>0</v>
      </c>
      <c r="AK49" s="527">
        <f>IF(ISNA(VLOOKUP($I49,Veg_Parameters!$A$3:$N$65,4,FALSE)),0,(VLOOKUP($I49,Veg_Parameters!$A$3:$N$65,4,FALSE)))</f>
        <v>0</v>
      </c>
      <c r="AL49" s="527">
        <f>AB49*(IF(ISNA(VLOOKUP($I49,Veg_Parameters!$A$3:$N$65,7,FALSE)),0, (VLOOKUP($I49,Veg_Parameters!$A$3:$N$65,7,FALSE))))</f>
        <v>0</v>
      </c>
      <c r="AM49" s="528">
        <f>IF(ISNA(VLOOKUP($I49,Veg_Parameters!$A$3:$N$65,6,FALSE)), 0, (VLOOKUP($I49,Veg_Parameters!$A$3:$N$65,6,FALSE)))</f>
        <v>0</v>
      </c>
      <c r="AN49" s="529">
        <f t="shared" si="72"/>
        <v>20</v>
      </c>
      <c r="AO49" s="529">
        <f t="shared" si="73"/>
        <v>0</v>
      </c>
      <c r="AP49" s="529">
        <f t="shared" si="74"/>
        <v>0</v>
      </c>
      <c r="AQ49" s="530">
        <f t="shared" si="90"/>
        <v>0</v>
      </c>
      <c r="AR49" s="527" t="s">
        <v>3</v>
      </c>
      <c r="AS49" s="527">
        <f>IF(ISNA(VLOOKUP($I49,Veg_Parameters!$A$3:$N$65,8,FALSE)), 0, (VLOOKUP($I49,Veg_Parameters!$A$3:$N$65,8,FALSE)))</f>
        <v>0</v>
      </c>
      <c r="AT49" s="527">
        <f>AB49*(IF(ISNA(VLOOKUP($I49,Veg_Parameters!$A$3:$N$65,9,FALSE)), 0, (VLOOKUP($I49,Veg_Parameters!$A$3:$N$65,9,FALSE))))</f>
        <v>0</v>
      </c>
      <c r="AU49" s="527">
        <f>IF(ISBLANK(A49),0,VLOOKUP($I49,Veg_Parameters!$A$4:$U$65,21,))</f>
        <v>0</v>
      </c>
      <c r="AV49" s="527">
        <f t="shared" si="91"/>
        <v>0</v>
      </c>
      <c r="AW49" s="529">
        <f t="shared" si="92"/>
        <v>0</v>
      </c>
      <c r="AX49" s="529">
        <f t="shared" si="93"/>
        <v>0</v>
      </c>
      <c r="AY49" s="529">
        <f t="shared" si="75"/>
        <v>0</v>
      </c>
      <c r="AZ49" s="529">
        <f t="shared" si="94"/>
        <v>0</v>
      </c>
      <c r="BA49" s="529">
        <f t="shared" si="95"/>
        <v>0</v>
      </c>
      <c r="BB49" s="529">
        <f t="shared" si="96"/>
        <v>0</v>
      </c>
      <c r="BC49" s="529">
        <f t="shared" si="76"/>
        <v>0</v>
      </c>
      <c r="BD49" s="531"/>
      <c r="BE49" s="527">
        <f>AH49*(IF(ISNA(VLOOKUP($N49,Veg_Parameters!$A$3:$N$65,5,FALSE)),0,(VLOOKUP($N49,Veg_Parameters!$A$3:$N$65,5,FALSE))))</f>
        <v>0</v>
      </c>
      <c r="BF49" s="527">
        <f>IF(ISNA(VLOOKUP($N49,Veg_Parameters!$A$3:$N$65,4,FALSE)),0,(VLOOKUP($N49,Veg_Parameters!$A$3:$N$65,4,FALSE)))</f>
        <v>0</v>
      </c>
      <c r="BG49" s="527">
        <f>AH49*(IF(ISNA(VLOOKUP($N49,Veg_Parameters!$A$3:$N$65,7,FALSE)),0, (VLOOKUP($N49,Veg_Parameters!$A$3:$N$65,7,FALSE))))</f>
        <v>0</v>
      </c>
      <c r="BH49" s="527">
        <f>IF(ISNA(VLOOKUP($N49,Veg_Parameters!$A$3:$N$65,6,FALSE)), 0, (VLOOKUP($N49,Veg_Parameters!$A$3:$N$65,6,FALSE)))</f>
        <v>0</v>
      </c>
      <c r="BI49" s="529">
        <f t="shared" si="77"/>
        <v>20</v>
      </c>
      <c r="BJ49" s="529">
        <f t="shared" si="97"/>
        <v>0</v>
      </c>
      <c r="BK49" s="529">
        <f t="shared" si="78"/>
        <v>0</v>
      </c>
      <c r="BL49" s="530">
        <f t="shared" si="98"/>
        <v>0</v>
      </c>
      <c r="BM49" s="527" t="s">
        <v>3</v>
      </c>
      <c r="BN49" s="527">
        <f>IF(ISNA(VLOOKUP(N49,Veg_Parameters!$A$3:$N$65,8,FALSE)), 0, (VLOOKUP($N49,Veg_Parameters!$A$3:$N$65,8,FALSE)))</f>
        <v>0</v>
      </c>
      <c r="BO49" s="527">
        <f>AH49*(IF(ISNA(VLOOKUP($N49,Veg_Parameters!$A$3:$N$65,9,FALSE)), 0, (VLOOKUP($N49,Veg_Parameters!$A$3:$N$65,9,FALSE))))</f>
        <v>0</v>
      </c>
      <c r="BP49" s="527" t="str">
        <f>IF(ISBLANK(N49),"0",VLOOKUP($N49,Veg_Parameters!$A$4:$U$65,21,))</f>
        <v>0</v>
      </c>
      <c r="BQ49" s="529">
        <f t="shared" si="99"/>
        <v>0</v>
      </c>
      <c r="BR49" s="529">
        <f t="shared" si="100"/>
        <v>0</v>
      </c>
      <c r="BS49" s="529">
        <f t="shared" si="79"/>
        <v>0</v>
      </c>
      <c r="BT49" s="529">
        <f t="shared" si="101"/>
        <v>0</v>
      </c>
      <c r="BU49" s="529">
        <f t="shared" si="102"/>
        <v>0</v>
      </c>
      <c r="BV49" s="529">
        <f t="shared" si="103"/>
        <v>0</v>
      </c>
      <c r="BW49" s="532" t="str">
        <f t="shared" si="80"/>
        <v/>
      </c>
      <c r="BX49" s="532" t="str">
        <f t="shared" si="81"/>
        <v/>
      </c>
      <c r="BY49" s="532" t="str">
        <f t="shared" si="82"/>
        <v/>
      </c>
      <c r="BZ49" s="532" t="str">
        <f t="shared" si="83"/>
        <v/>
      </c>
      <c r="CA49" s="532">
        <f t="shared" si="84"/>
        <v>0</v>
      </c>
      <c r="CB49" s="533"/>
      <c r="CC49" s="624">
        <f t="shared" si="85"/>
        <v>0</v>
      </c>
      <c r="CD49" s="534">
        <f t="shared" si="86"/>
        <v>0</v>
      </c>
      <c r="CE49" s="534">
        <f t="shared" si="87"/>
        <v>0</v>
      </c>
      <c r="CF49" s="534">
        <f t="shared" si="88"/>
        <v>0</v>
      </c>
      <c r="CG49" s="534"/>
      <c r="CH49" s="534"/>
      <c r="CI49" s="534">
        <f t="shared" si="104"/>
        <v>0</v>
      </c>
      <c r="CL49" s="534">
        <f>IF(ISNA(VLOOKUP(I49,Veg_Parameters!$A$3:$N$65,13,FALSE)),0,(VLOOKUP(I49,Veg_Parameters!$A$3:$N$65,13,FALSE)))</f>
        <v>0</v>
      </c>
      <c r="CM49" s="534">
        <f t="shared" si="105"/>
        <v>0</v>
      </c>
      <c r="CN49" s="534">
        <f>IF(ISNA(VLOOKUP(N49,Veg_Parameters!$A$3:$N$65,13,FALSE)),0,(VLOOKUP(N49,Veg_Parameters!$A$3:$N$65,13,FALSE)))</f>
        <v>0</v>
      </c>
      <c r="CO49" s="523">
        <f t="shared" si="106"/>
        <v>0</v>
      </c>
    </row>
    <row r="50" spans="1:93" x14ac:dyDescent="0.2">
      <c r="A50" s="227"/>
      <c r="B50" s="171" t="str">
        <f t="shared" si="107"/>
        <v/>
      </c>
      <c r="C50" s="230"/>
      <c r="D50" s="169"/>
      <c r="E50" s="165"/>
      <c r="F50" s="165"/>
      <c r="G50" s="165"/>
      <c r="H50" s="165"/>
      <c r="I50" s="168"/>
      <c r="J50" s="167"/>
      <c r="K50" s="168"/>
      <c r="L50" s="167"/>
      <c r="M50" s="167"/>
      <c r="N50" s="168"/>
      <c r="O50" s="168"/>
      <c r="P50" s="167"/>
      <c r="Q50" s="167"/>
      <c r="R50" s="167"/>
      <c r="S50" s="222" t="str">
        <f>IF(ISBLANK(A50),"",IF(ISNA(VLOOKUP(I50,Veg_Parameters!$A$3:$N$65,3,FALSE)),0,(VLOOKUP(I50,Veg_Parameters!$A$3:$N$65,3,FALSE))))</f>
        <v/>
      </c>
      <c r="T50" s="222" t="str">
        <f>IF(ISBLANK(N50),"",IF(ISNA(VLOOKUP(N50,Veg_Parameters!$A$3:$N$65,3,FALSE)),0,(VLOOKUP(N50,Veg_Parameters!$A$3:$N$65,3,FALSE))))</f>
        <v/>
      </c>
      <c r="U50" s="523">
        <f t="shared" si="89"/>
        <v>0</v>
      </c>
      <c r="V50" s="523">
        <f t="shared" si="66"/>
        <v>0</v>
      </c>
      <c r="W50" s="524">
        <f>IF(ISBLANK(A50),0,IF(ISNA(VLOOKUP($I50,Veg_Parameters!$A$3:$N$65,10,FALSE)),0,(VLOOKUP($I50,Veg_Parameters!$A$3:$N$65,10,FALSE))))</f>
        <v>0</v>
      </c>
      <c r="X50" s="524">
        <f>IF(ISBLANK(A50),0,IF(ISNA(VLOOKUP($I50,Veg_Parameters!$A$3:$N$65,11,FALSE)),0,(VLOOKUP($I50,Veg_Parameters!$A$3:$N$65,11,FALSE))))</f>
        <v>0</v>
      </c>
      <c r="Y50" s="524">
        <f>IF(ISBLANK(A50),0,IF(ISNA(VLOOKUP($I50,Veg_Parameters!$A$3:$N$65,12,FALSE)),0,(VLOOKUP($I50,Veg_Parameters!$A$3:$N$65,12,FALSE))))</f>
        <v>0</v>
      </c>
      <c r="Z50" s="525">
        <f t="shared" si="1"/>
        <v>0</v>
      </c>
      <c r="AA50" s="525">
        <f t="shared" si="67"/>
        <v>0</v>
      </c>
      <c r="AB50" s="525">
        <f t="shared" si="68"/>
        <v>0</v>
      </c>
      <c r="AC50" s="524">
        <f>IF(ISBLANK(N50),0,IF(ISNA(VLOOKUP($N50,Veg_Parameters!$A$3:$N$65,10,FALSE)),0,(VLOOKUP($N50,Veg_Parameters!$A$3:$N$65,10,FALSE))))</f>
        <v>0</v>
      </c>
      <c r="AD50" s="524">
        <f>IF(ISBLANK(N50),0,IF(ISNA(VLOOKUP($N50,Veg_Parameters!$A$3:$N$65,11,FALSE)),0,(VLOOKUP($N50,Veg_Parameters!$A$3:$N$65,11,FALSE))))</f>
        <v>0</v>
      </c>
      <c r="AE50" s="524">
        <f>IF(ISBLANK(N50), 0, IF(ISNA(VLOOKUP($N50,Veg_Parameters!$A$3:$N$65,12,FALSE)),0,(VLOOKUP($N50,Veg_Parameters!$A$3:$N$65,12,FALSE))))</f>
        <v>0</v>
      </c>
      <c r="AF50" s="523">
        <f t="shared" si="69"/>
        <v>0</v>
      </c>
      <c r="AG50" s="523">
        <f t="shared" si="70"/>
        <v>0</v>
      </c>
      <c r="AH50" s="523">
        <f t="shared" si="71"/>
        <v>0</v>
      </c>
      <c r="AI50" s="526"/>
      <c r="AJ50" s="527">
        <f>AB50*(IF(ISNA(VLOOKUP($I50,Veg_Parameters!$A$3:$N$65,5,FALSE)),0,(VLOOKUP($I50,Veg_Parameters!$A$3:$N$65,5,FALSE))))</f>
        <v>0</v>
      </c>
      <c r="AK50" s="527">
        <f>IF(ISNA(VLOOKUP($I50,Veg_Parameters!$A$3:$N$65,4,FALSE)),0,(VLOOKUP($I50,Veg_Parameters!$A$3:$N$65,4,FALSE)))</f>
        <v>0</v>
      </c>
      <c r="AL50" s="527">
        <f>AB50*(IF(ISNA(VLOOKUP($I50,Veg_Parameters!$A$3:$N$65,7,FALSE)),0, (VLOOKUP($I50,Veg_Parameters!$A$3:$N$65,7,FALSE))))</f>
        <v>0</v>
      </c>
      <c r="AM50" s="528">
        <f>IF(ISNA(VLOOKUP($I50,Veg_Parameters!$A$3:$N$65,6,FALSE)), 0, (VLOOKUP($I50,Veg_Parameters!$A$3:$N$65,6,FALSE)))</f>
        <v>0</v>
      </c>
      <c r="AN50" s="529">
        <f t="shared" si="72"/>
        <v>20</v>
      </c>
      <c r="AO50" s="529">
        <f t="shared" si="73"/>
        <v>0</v>
      </c>
      <c r="AP50" s="529">
        <f t="shared" si="74"/>
        <v>0</v>
      </c>
      <c r="AQ50" s="530">
        <f t="shared" si="90"/>
        <v>0</v>
      </c>
      <c r="AR50" s="527" t="s">
        <v>3</v>
      </c>
      <c r="AS50" s="527">
        <f>IF(ISNA(VLOOKUP($I50,Veg_Parameters!$A$3:$N$65,8,FALSE)), 0, (VLOOKUP($I50,Veg_Parameters!$A$3:$N$65,8,FALSE)))</f>
        <v>0</v>
      </c>
      <c r="AT50" s="527">
        <f>AB50*(IF(ISNA(VLOOKUP($I50,Veg_Parameters!$A$3:$N$65,9,FALSE)), 0, (VLOOKUP($I50,Veg_Parameters!$A$3:$N$65,9,FALSE))))</f>
        <v>0</v>
      </c>
      <c r="AU50" s="527">
        <f>IF(ISBLANK(A50),0,VLOOKUP($I50,Veg_Parameters!$A$4:$U$65,21,))</f>
        <v>0</v>
      </c>
      <c r="AV50" s="527">
        <f t="shared" si="91"/>
        <v>0</v>
      </c>
      <c r="AW50" s="529">
        <f t="shared" si="92"/>
        <v>0</v>
      </c>
      <c r="AX50" s="529">
        <f t="shared" si="93"/>
        <v>0</v>
      </c>
      <c r="AY50" s="529">
        <f t="shared" si="75"/>
        <v>0</v>
      </c>
      <c r="AZ50" s="529">
        <f t="shared" si="94"/>
        <v>0</v>
      </c>
      <c r="BA50" s="529">
        <f t="shared" si="95"/>
        <v>0</v>
      </c>
      <c r="BB50" s="529">
        <f t="shared" si="96"/>
        <v>0</v>
      </c>
      <c r="BC50" s="529">
        <f t="shared" si="76"/>
        <v>0</v>
      </c>
      <c r="BD50" s="531"/>
      <c r="BE50" s="527">
        <f>AH50*(IF(ISNA(VLOOKUP($N50,Veg_Parameters!$A$3:$N$65,5,FALSE)),0,(VLOOKUP($N50,Veg_Parameters!$A$3:$N$65,5,FALSE))))</f>
        <v>0</v>
      </c>
      <c r="BF50" s="527">
        <f>IF(ISNA(VLOOKUP($N50,Veg_Parameters!$A$3:$N$65,4,FALSE)),0,(VLOOKUP($N50,Veg_Parameters!$A$3:$N$65,4,FALSE)))</f>
        <v>0</v>
      </c>
      <c r="BG50" s="527">
        <f>AH50*(IF(ISNA(VLOOKUP($N50,Veg_Parameters!$A$3:$N$65,7,FALSE)),0, (VLOOKUP($N50,Veg_Parameters!$A$3:$N$65,7,FALSE))))</f>
        <v>0</v>
      </c>
      <c r="BH50" s="527">
        <f>IF(ISNA(VLOOKUP($N50,Veg_Parameters!$A$3:$N$65,6,FALSE)), 0, (VLOOKUP($N50,Veg_Parameters!$A$3:$N$65,6,FALSE)))</f>
        <v>0</v>
      </c>
      <c r="BI50" s="529">
        <f t="shared" si="77"/>
        <v>20</v>
      </c>
      <c r="BJ50" s="529">
        <f t="shared" si="97"/>
        <v>0</v>
      </c>
      <c r="BK50" s="529">
        <f t="shared" si="78"/>
        <v>0</v>
      </c>
      <c r="BL50" s="530">
        <f t="shared" si="98"/>
        <v>0</v>
      </c>
      <c r="BM50" s="527" t="s">
        <v>3</v>
      </c>
      <c r="BN50" s="527">
        <f>IF(ISNA(VLOOKUP(N50,Veg_Parameters!$A$3:$N$65,8,FALSE)), 0, (VLOOKUP($N50,Veg_Parameters!$A$3:$N$65,8,FALSE)))</f>
        <v>0</v>
      </c>
      <c r="BO50" s="527">
        <f>AH50*(IF(ISNA(VLOOKUP($N50,Veg_Parameters!$A$3:$N$65,9,FALSE)), 0, (VLOOKUP($N50,Veg_Parameters!$A$3:$N$65,9,FALSE))))</f>
        <v>0</v>
      </c>
      <c r="BP50" s="527" t="str">
        <f>IF(ISBLANK(N50),"0",VLOOKUP($N50,Veg_Parameters!$A$4:$U$65,21,))</f>
        <v>0</v>
      </c>
      <c r="BQ50" s="529">
        <f t="shared" si="99"/>
        <v>0</v>
      </c>
      <c r="BR50" s="529">
        <f t="shared" si="100"/>
        <v>0</v>
      </c>
      <c r="BS50" s="529">
        <f t="shared" si="79"/>
        <v>0</v>
      </c>
      <c r="BT50" s="529">
        <f t="shared" si="101"/>
        <v>0</v>
      </c>
      <c r="BU50" s="529">
        <f t="shared" si="102"/>
        <v>0</v>
      </c>
      <c r="BV50" s="529">
        <f t="shared" si="103"/>
        <v>0</v>
      </c>
      <c r="BW50" s="532" t="str">
        <f t="shared" si="80"/>
        <v/>
      </c>
      <c r="BX50" s="532" t="str">
        <f t="shared" si="81"/>
        <v/>
      </c>
      <c r="BY50" s="532" t="str">
        <f t="shared" si="82"/>
        <v/>
      </c>
      <c r="BZ50" s="532" t="str">
        <f t="shared" si="83"/>
        <v/>
      </c>
      <c r="CA50" s="532">
        <f t="shared" si="84"/>
        <v>0</v>
      </c>
      <c r="CB50" s="533"/>
      <c r="CC50" s="624">
        <f t="shared" si="85"/>
        <v>0</v>
      </c>
      <c r="CD50" s="534">
        <f t="shared" si="86"/>
        <v>0</v>
      </c>
      <c r="CE50" s="534">
        <f t="shared" si="87"/>
        <v>0</v>
      </c>
      <c r="CF50" s="534">
        <f t="shared" si="88"/>
        <v>0</v>
      </c>
      <c r="CG50" s="534"/>
      <c r="CH50" s="534"/>
      <c r="CI50" s="534">
        <f t="shared" si="104"/>
        <v>0</v>
      </c>
      <c r="CL50" s="534">
        <f>IF(ISNA(VLOOKUP(I50,Veg_Parameters!$A$3:$N$65,13,FALSE)),0,(VLOOKUP(I50,Veg_Parameters!$A$3:$N$65,13,FALSE)))</f>
        <v>0</v>
      </c>
      <c r="CM50" s="534">
        <f t="shared" si="105"/>
        <v>0</v>
      </c>
      <c r="CN50" s="534">
        <f>IF(ISNA(VLOOKUP(N50,Veg_Parameters!$A$3:$N$65,13,FALSE)),0,(VLOOKUP(N50,Veg_Parameters!$A$3:$N$65,13,FALSE)))</f>
        <v>0</v>
      </c>
      <c r="CO50" s="523">
        <f t="shared" si="106"/>
        <v>0</v>
      </c>
    </row>
    <row r="51" spans="1:93" x14ac:dyDescent="0.2">
      <c r="A51" s="227"/>
      <c r="B51" s="171" t="str">
        <f t="shared" si="107"/>
        <v/>
      </c>
      <c r="C51" s="230"/>
      <c r="D51" s="169"/>
      <c r="E51" s="165"/>
      <c r="F51" s="165"/>
      <c r="G51" s="165"/>
      <c r="H51" s="165"/>
      <c r="I51" s="168"/>
      <c r="J51" s="167"/>
      <c r="K51" s="168"/>
      <c r="L51" s="167"/>
      <c r="M51" s="167"/>
      <c r="N51" s="168"/>
      <c r="O51" s="168"/>
      <c r="P51" s="167"/>
      <c r="Q51" s="167"/>
      <c r="R51" s="167"/>
      <c r="S51" s="222" t="str">
        <f>IF(ISBLANK(A51),"",IF(ISNA(VLOOKUP(I51,Veg_Parameters!$A$3:$N$65,3,FALSE)),0,(VLOOKUP(I51,Veg_Parameters!$A$3:$N$65,3,FALSE))))</f>
        <v/>
      </c>
      <c r="T51" s="222" t="str">
        <f>IF(ISBLANK(N51),"",IF(ISNA(VLOOKUP(N51,Veg_Parameters!$A$3:$N$65,3,FALSE)),0,(VLOOKUP(N51,Veg_Parameters!$A$3:$N$65,3,FALSE))))</f>
        <v/>
      </c>
      <c r="U51" s="523">
        <f t="shared" si="89"/>
        <v>0</v>
      </c>
      <c r="V51" s="523">
        <f t="shared" si="66"/>
        <v>0</v>
      </c>
      <c r="W51" s="524">
        <f>IF(ISBLANK(A51),0,IF(ISNA(VLOOKUP($I51,Veg_Parameters!$A$3:$N$65,10,FALSE)),0,(VLOOKUP($I51,Veg_Parameters!$A$3:$N$65,10,FALSE))))</f>
        <v>0</v>
      </c>
      <c r="X51" s="524">
        <f>IF(ISBLANK(A51),0,IF(ISNA(VLOOKUP($I51,Veg_Parameters!$A$3:$N$65,11,FALSE)),0,(VLOOKUP($I51,Veg_Parameters!$A$3:$N$65,11,FALSE))))</f>
        <v>0</v>
      </c>
      <c r="Y51" s="524">
        <f>IF(ISBLANK(A51),0,IF(ISNA(VLOOKUP($I51,Veg_Parameters!$A$3:$N$65,12,FALSE)),0,(VLOOKUP($I51,Veg_Parameters!$A$3:$N$65,12,FALSE))))</f>
        <v>0</v>
      </c>
      <c r="Z51" s="525">
        <f t="shared" si="1"/>
        <v>0</v>
      </c>
      <c r="AA51" s="525">
        <f t="shared" si="67"/>
        <v>0</v>
      </c>
      <c r="AB51" s="525">
        <f t="shared" si="68"/>
        <v>0</v>
      </c>
      <c r="AC51" s="524">
        <f>IF(ISBLANK(N51),0,IF(ISNA(VLOOKUP($N51,Veg_Parameters!$A$3:$N$65,10,FALSE)),0,(VLOOKUP($N51,Veg_Parameters!$A$3:$N$65,10,FALSE))))</f>
        <v>0</v>
      </c>
      <c r="AD51" s="524">
        <f>IF(ISBLANK(N51),0,IF(ISNA(VLOOKUP($N51,Veg_Parameters!$A$3:$N$65,11,FALSE)),0,(VLOOKUP($N51,Veg_Parameters!$A$3:$N$65,11,FALSE))))</f>
        <v>0</v>
      </c>
      <c r="AE51" s="524">
        <f>IF(ISBLANK(N51), 0, IF(ISNA(VLOOKUP($N51,Veg_Parameters!$A$3:$N$65,12,FALSE)),0,(VLOOKUP($N51,Veg_Parameters!$A$3:$N$65,12,FALSE))))</f>
        <v>0</v>
      </c>
      <c r="AF51" s="523">
        <f t="shared" si="69"/>
        <v>0</v>
      </c>
      <c r="AG51" s="523">
        <f t="shared" si="70"/>
        <v>0</v>
      </c>
      <c r="AH51" s="523">
        <f t="shared" si="71"/>
        <v>0</v>
      </c>
      <c r="AI51" s="526"/>
      <c r="AJ51" s="527">
        <f>AB51*(IF(ISNA(VLOOKUP($I51,Veg_Parameters!$A$3:$N$65,5,FALSE)),0,(VLOOKUP($I51,Veg_Parameters!$A$3:$N$65,5,FALSE))))</f>
        <v>0</v>
      </c>
      <c r="AK51" s="527">
        <f>IF(ISNA(VLOOKUP($I51,Veg_Parameters!$A$3:$N$65,4,FALSE)),0,(VLOOKUP($I51,Veg_Parameters!$A$3:$N$65,4,FALSE)))</f>
        <v>0</v>
      </c>
      <c r="AL51" s="527">
        <f>AB51*(IF(ISNA(VLOOKUP($I51,Veg_Parameters!$A$3:$N$65,7,FALSE)),0, (VLOOKUP($I51,Veg_Parameters!$A$3:$N$65,7,FALSE))))</f>
        <v>0</v>
      </c>
      <c r="AM51" s="528">
        <f>IF(ISNA(VLOOKUP($I51,Veg_Parameters!$A$3:$N$65,6,FALSE)), 0, (VLOOKUP($I51,Veg_Parameters!$A$3:$N$65,6,FALSE)))</f>
        <v>0</v>
      </c>
      <c r="AN51" s="529">
        <f t="shared" si="72"/>
        <v>20</v>
      </c>
      <c r="AO51" s="529">
        <f t="shared" si="73"/>
        <v>0</v>
      </c>
      <c r="AP51" s="529">
        <f t="shared" si="74"/>
        <v>0</v>
      </c>
      <c r="AQ51" s="530">
        <f t="shared" si="90"/>
        <v>0</v>
      </c>
      <c r="AR51" s="527" t="s">
        <v>3</v>
      </c>
      <c r="AS51" s="527">
        <f>IF(ISNA(VLOOKUP($I51,Veg_Parameters!$A$3:$N$65,8,FALSE)), 0, (VLOOKUP($I51,Veg_Parameters!$A$3:$N$65,8,FALSE)))</f>
        <v>0</v>
      </c>
      <c r="AT51" s="527">
        <f>AB51*(IF(ISNA(VLOOKUP($I51,Veg_Parameters!$A$3:$N$65,9,FALSE)), 0, (VLOOKUP($I51,Veg_Parameters!$A$3:$N$65,9,FALSE))))</f>
        <v>0</v>
      </c>
      <c r="AU51" s="527">
        <f>IF(ISBLANK(A51),0,VLOOKUP($I51,Veg_Parameters!$A$4:$U$65,21,))</f>
        <v>0</v>
      </c>
      <c r="AV51" s="527">
        <f t="shared" si="91"/>
        <v>0</v>
      </c>
      <c r="AW51" s="529">
        <f t="shared" si="92"/>
        <v>0</v>
      </c>
      <c r="AX51" s="529">
        <f t="shared" si="93"/>
        <v>0</v>
      </c>
      <c r="AY51" s="529">
        <f t="shared" si="75"/>
        <v>0</v>
      </c>
      <c r="AZ51" s="529">
        <f t="shared" si="94"/>
        <v>0</v>
      </c>
      <c r="BA51" s="529">
        <f t="shared" si="95"/>
        <v>0</v>
      </c>
      <c r="BB51" s="529">
        <f t="shared" si="96"/>
        <v>0</v>
      </c>
      <c r="BC51" s="529">
        <f t="shared" si="76"/>
        <v>0</v>
      </c>
      <c r="BD51" s="531"/>
      <c r="BE51" s="527">
        <f>AH51*(IF(ISNA(VLOOKUP($N51,Veg_Parameters!$A$3:$N$65,5,FALSE)),0,(VLOOKUP($N51,Veg_Parameters!$A$3:$N$65,5,FALSE))))</f>
        <v>0</v>
      </c>
      <c r="BF51" s="527">
        <f>IF(ISNA(VLOOKUP($N51,Veg_Parameters!$A$3:$N$65,4,FALSE)),0,(VLOOKUP($N51,Veg_Parameters!$A$3:$N$65,4,FALSE)))</f>
        <v>0</v>
      </c>
      <c r="BG51" s="527">
        <f>AH51*(IF(ISNA(VLOOKUP($N51,Veg_Parameters!$A$3:$N$65,7,FALSE)),0, (VLOOKUP($N51,Veg_Parameters!$A$3:$N$65,7,FALSE))))</f>
        <v>0</v>
      </c>
      <c r="BH51" s="527">
        <f>IF(ISNA(VLOOKUP($N51,Veg_Parameters!$A$3:$N$65,6,FALSE)), 0, (VLOOKUP($N51,Veg_Parameters!$A$3:$N$65,6,FALSE)))</f>
        <v>0</v>
      </c>
      <c r="BI51" s="529">
        <f t="shared" si="77"/>
        <v>20</v>
      </c>
      <c r="BJ51" s="529">
        <f t="shared" si="97"/>
        <v>0</v>
      </c>
      <c r="BK51" s="529">
        <f t="shared" si="78"/>
        <v>0</v>
      </c>
      <c r="BL51" s="530">
        <f t="shared" si="98"/>
        <v>0</v>
      </c>
      <c r="BM51" s="527" t="s">
        <v>3</v>
      </c>
      <c r="BN51" s="527">
        <f>IF(ISNA(VLOOKUP(N51,Veg_Parameters!$A$3:$N$65,8,FALSE)), 0, (VLOOKUP($N51,Veg_Parameters!$A$3:$N$65,8,FALSE)))</f>
        <v>0</v>
      </c>
      <c r="BO51" s="527">
        <f>AH51*(IF(ISNA(VLOOKUP($N51,Veg_Parameters!$A$3:$N$65,9,FALSE)), 0, (VLOOKUP($N51,Veg_Parameters!$A$3:$N$65,9,FALSE))))</f>
        <v>0</v>
      </c>
      <c r="BP51" s="527" t="str">
        <f>IF(ISBLANK(N51),"0",VLOOKUP($N51,Veg_Parameters!$A$4:$U$65,21,))</f>
        <v>0</v>
      </c>
      <c r="BQ51" s="529">
        <f t="shared" si="99"/>
        <v>0</v>
      </c>
      <c r="BR51" s="529">
        <f t="shared" si="100"/>
        <v>0</v>
      </c>
      <c r="BS51" s="529">
        <f t="shared" si="79"/>
        <v>0</v>
      </c>
      <c r="BT51" s="529">
        <f t="shared" si="101"/>
        <v>0</v>
      </c>
      <c r="BU51" s="529">
        <f t="shared" si="102"/>
        <v>0</v>
      </c>
      <c r="BV51" s="529">
        <f t="shared" si="103"/>
        <v>0</v>
      </c>
      <c r="BW51" s="532" t="str">
        <f t="shared" si="80"/>
        <v/>
      </c>
      <c r="BX51" s="532" t="str">
        <f t="shared" si="81"/>
        <v/>
      </c>
      <c r="BY51" s="532" t="str">
        <f t="shared" si="82"/>
        <v/>
      </c>
      <c r="BZ51" s="532" t="str">
        <f t="shared" si="83"/>
        <v/>
      </c>
      <c r="CA51" s="532">
        <f t="shared" si="84"/>
        <v>0</v>
      </c>
      <c r="CB51" s="533"/>
      <c r="CC51" s="624">
        <f t="shared" si="85"/>
        <v>0</v>
      </c>
      <c r="CD51" s="534">
        <f t="shared" si="86"/>
        <v>0</v>
      </c>
      <c r="CE51" s="534">
        <f t="shared" si="87"/>
        <v>0</v>
      </c>
      <c r="CF51" s="534">
        <f t="shared" si="88"/>
        <v>0</v>
      </c>
      <c r="CG51" s="534"/>
      <c r="CH51" s="534"/>
      <c r="CI51" s="534">
        <f t="shared" si="104"/>
        <v>0</v>
      </c>
      <c r="CL51" s="534">
        <f>IF(ISNA(VLOOKUP(I51,Veg_Parameters!$A$3:$N$65,13,FALSE)),0,(VLOOKUP(I51,Veg_Parameters!$A$3:$N$65,13,FALSE)))</f>
        <v>0</v>
      </c>
      <c r="CM51" s="534">
        <f t="shared" si="105"/>
        <v>0</v>
      </c>
      <c r="CN51" s="534">
        <f>IF(ISNA(VLOOKUP(N51,Veg_Parameters!$A$3:$N$65,13,FALSE)),0,(VLOOKUP(N51,Veg_Parameters!$A$3:$N$65,13,FALSE)))</f>
        <v>0</v>
      </c>
      <c r="CO51" s="523">
        <f t="shared" si="106"/>
        <v>0</v>
      </c>
    </row>
    <row r="52" spans="1:93" x14ac:dyDescent="0.2">
      <c r="A52" s="227"/>
      <c r="B52" s="171" t="str">
        <f t="shared" si="107"/>
        <v/>
      </c>
      <c r="C52" s="230"/>
      <c r="D52" s="169"/>
      <c r="E52" s="165"/>
      <c r="F52" s="165"/>
      <c r="G52" s="165"/>
      <c r="H52" s="165"/>
      <c r="I52" s="168"/>
      <c r="J52" s="167"/>
      <c r="K52" s="168"/>
      <c r="L52" s="167"/>
      <c r="M52" s="167"/>
      <c r="N52" s="168"/>
      <c r="O52" s="168"/>
      <c r="P52" s="167"/>
      <c r="Q52" s="167"/>
      <c r="R52" s="167"/>
      <c r="S52" s="222" t="str">
        <f>IF(ISBLANK(A52),"",IF(ISNA(VLOOKUP(I52,Veg_Parameters!$A$3:$N$65,3,FALSE)),0,(VLOOKUP(I52,Veg_Parameters!$A$3:$N$65,3,FALSE))))</f>
        <v/>
      </c>
      <c r="T52" s="222" t="str">
        <f>IF(ISBLANK(N52),"",IF(ISNA(VLOOKUP(N52,Veg_Parameters!$A$3:$N$65,3,FALSE)),0,(VLOOKUP(N52,Veg_Parameters!$A$3:$N$65,3,FALSE))))</f>
        <v/>
      </c>
      <c r="U52" s="523">
        <f t="shared" si="89"/>
        <v>0</v>
      </c>
      <c r="V52" s="523">
        <f t="shared" si="66"/>
        <v>0</v>
      </c>
      <c r="W52" s="524">
        <f>IF(ISBLANK(A52),0,IF(ISNA(VLOOKUP($I52,Veg_Parameters!$A$3:$N$65,10,FALSE)),0,(VLOOKUP($I52,Veg_Parameters!$A$3:$N$65,10,FALSE))))</f>
        <v>0</v>
      </c>
      <c r="X52" s="524">
        <f>IF(ISBLANK(A52),0,IF(ISNA(VLOOKUP($I52,Veg_Parameters!$A$3:$N$65,11,FALSE)),0,(VLOOKUP($I52,Veg_Parameters!$A$3:$N$65,11,FALSE))))</f>
        <v>0</v>
      </c>
      <c r="Y52" s="524">
        <f>IF(ISBLANK(A52),0,IF(ISNA(VLOOKUP($I52,Veg_Parameters!$A$3:$N$65,12,FALSE)),0,(VLOOKUP($I52,Veg_Parameters!$A$3:$N$65,12,FALSE))))</f>
        <v>0</v>
      </c>
      <c r="Z52" s="525">
        <f t="shared" si="1"/>
        <v>0</v>
      </c>
      <c r="AA52" s="525">
        <f t="shared" si="67"/>
        <v>0</v>
      </c>
      <c r="AB52" s="525">
        <f t="shared" si="68"/>
        <v>0</v>
      </c>
      <c r="AC52" s="524">
        <f>IF(ISBLANK(N52),0,IF(ISNA(VLOOKUP($N52,Veg_Parameters!$A$3:$N$65,10,FALSE)),0,(VLOOKUP($N52,Veg_Parameters!$A$3:$N$65,10,FALSE))))</f>
        <v>0</v>
      </c>
      <c r="AD52" s="524">
        <f>IF(ISBLANK(N52),0,IF(ISNA(VLOOKUP($N52,Veg_Parameters!$A$3:$N$65,11,FALSE)),0,(VLOOKUP($N52,Veg_Parameters!$A$3:$N$65,11,FALSE))))</f>
        <v>0</v>
      </c>
      <c r="AE52" s="524">
        <f>IF(ISBLANK(N52), 0, IF(ISNA(VLOOKUP($N52,Veg_Parameters!$A$3:$N$65,12,FALSE)),0,(VLOOKUP($N52,Veg_Parameters!$A$3:$N$65,12,FALSE))))</f>
        <v>0</v>
      </c>
      <c r="AF52" s="523">
        <f t="shared" si="69"/>
        <v>0</v>
      </c>
      <c r="AG52" s="523">
        <f t="shared" si="70"/>
        <v>0</v>
      </c>
      <c r="AH52" s="523">
        <f t="shared" si="71"/>
        <v>0</v>
      </c>
      <c r="AI52" s="526"/>
      <c r="AJ52" s="527">
        <f>AB52*(IF(ISNA(VLOOKUP($I52,Veg_Parameters!$A$3:$N$65,5,FALSE)),0,(VLOOKUP($I52,Veg_Parameters!$A$3:$N$65,5,FALSE))))</f>
        <v>0</v>
      </c>
      <c r="AK52" s="527">
        <f>IF(ISNA(VLOOKUP($I52,Veg_Parameters!$A$3:$N$65,4,FALSE)),0,(VLOOKUP($I52,Veg_Parameters!$A$3:$N$65,4,FALSE)))</f>
        <v>0</v>
      </c>
      <c r="AL52" s="527">
        <f>AB52*(IF(ISNA(VLOOKUP($I52,Veg_Parameters!$A$3:$N$65,7,FALSE)),0, (VLOOKUP($I52,Veg_Parameters!$A$3:$N$65,7,FALSE))))</f>
        <v>0</v>
      </c>
      <c r="AM52" s="528">
        <f>IF(ISNA(VLOOKUP($I52,Veg_Parameters!$A$3:$N$65,6,FALSE)), 0, (VLOOKUP($I52,Veg_Parameters!$A$3:$N$65,6,FALSE)))</f>
        <v>0</v>
      </c>
      <c r="AN52" s="529">
        <f t="shared" si="72"/>
        <v>20</v>
      </c>
      <c r="AO52" s="529">
        <f t="shared" si="73"/>
        <v>0</v>
      </c>
      <c r="AP52" s="529">
        <f t="shared" si="74"/>
        <v>0</v>
      </c>
      <c r="AQ52" s="530">
        <f t="shared" si="90"/>
        <v>0</v>
      </c>
      <c r="AR52" s="527" t="s">
        <v>3</v>
      </c>
      <c r="AS52" s="527">
        <f>IF(ISNA(VLOOKUP($I52,Veg_Parameters!$A$3:$N$65,8,FALSE)), 0, (VLOOKUP($I52,Veg_Parameters!$A$3:$N$65,8,FALSE)))</f>
        <v>0</v>
      </c>
      <c r="AT52" s="527">
        <f>AB52*(IF(ISNA(VLOOKUP($I52,Veg_Parameters!$A$3:$N$65,9,FALSE)), 0, (VLOOKUP($I52,Veg_Parameters!$A$3:$N$65,9,FALSE))))</f>
        <v>0</v>
      </c>
      <c r="AU52" s="527">
        <f>IF(ISBLANK(A52),0,VLOOKUP($I52,Veg_Parameters!$A$4:$U$65,21,))</f>
        <v>0</v>
      </c>
      <c r="AV52" s="527">
        <f t="shared" si="91"/>
        <v>0</v>
      </c>
      <c r="AW52" s="529">
        <f t="shared" si="92"/>
        <v>0</v>
      </c>
      <c r="AX52" s="529">
        <f t="shared" si="93"/>
        <v>0</v>
      </c>
      <c r="AY52" s="529">
        <f t="shared" si="75"/>
        <v>0</v>
      </c>
      <c r="AZ52" s="529">
        <f t="shared" si="94"/>
        <v>0</v>
      </c>
      <c r="BA52" s="529">
        <f t="shared" si="95"/>
        <v>0</v>
      </c>
      <c r="BB52" s="529">
        <f t="shared" si="96"/>
        <v>0</v>
      </c>
      <c r="BC52" s="529">
        <f t="shared" si="76"/>
        <v>0</v>
      </c>
      <c r="BD52" s="531"/>
      <c r="BE52" s="527">
        <f>AH52*(IF(ISNA(VLOOKUP($N52,Veg_Parameters!$A$3:$N$65,5,FALSE)),0,(VLOOKUP($N52,Veg_Parameters!$A$3:$N$65,5,FALSE))))</f>
        <v>0</v>
      </c>
      <c r="BF52" s="527">
        <f>IF(ISNA(VLOOKUP($N52,Veg_Parameters!$A$3:$N$65,4,FALSE)),0,(VLOOKUP($N52,Veg_Parameters!$A$3:$N$65,4,FALSE)))</f>
        <v>0</v>
      </c>
      <c r="BG52" s="527">
        <f>AH52*(IF(ISNA(VLOOKUP($N52,Veg_Parameters!$A$3:$N$65,7,FALSE)),0, (VLOOKUP($N52,Veg_Parameters!$A$3:$N$65,7,FALSE))))</f>
        <v>0</v>
      </c>
      <c r="BH52" s="527">
        <f>IF(ISNA(VLOOKUP($N52,Veg_Parameters!$A$3:$N$65,6,FALSE)), 0, (VLOOKUP($N52,Veg_Parameters!$A$3:$N$65,6,FALSE)))</f>
        <v>0</v>
      </c>
      <c r="BI52" s="529">
        <f t="shared" si="77"/>
        <v>20</v>
      </c>
      <c r="BJ52" s="529">
        <f t="shared" si="97"/>
        <v>0</v>
      </c>
      <c r="BK52" s="529">
        <f t="shared" si="78"/>
        <v>0</v>
      </c>
      <c r="BL52" s="530">
        <f t="shared" si="98"/>
        <v>0</v>
      </c>
      <c r="BM52" s="527" t="s">
        <v>3</v>
      </c>
      <c r="BN52" s="527">
        <f>IF(ISNA(VLOOKUP(N52,Veg_Parameters!$A$3:$N$65,8,FALSE)), 0, (VLOOKUP($N52,Veg_Parameters!$A$3:$N$65,8,FALSE)))</f>
        <v>0</v>
      </c>
      <c r="BO52" s="527">
        <f>AH52*(IF(ISNA(VLOOKUP($N52,Veg_Parameters!$A$3:$N$65,9,FALSE)), 0, (VLOOKUP($N52,Veg_Parameters!$A$3:$N$65,9,FALSE))))</f>
        <v>0</v>
      </c>
      <c r="BP52" s="527" t="str">
        <f>IF(ISBLANK(N52),"0",VLOOKUP($N52,Veg_Parameters!$A$4:$U$65,21,))</f>
        <v>0</v>
      </c>
      <c r="BQ52" s="529">
        <f t="shared" si="99"/>
        <v>0</v>
      </c>
      <c r="BR52" s="529">
        <f t="shared" si="100"/>
        <v>0</v>
      </c>
      <c r="BS52" s="529">
        <f t="shared" si="79"/>
        <v>0</v>
      </c>
      <c r="BT52" s="529">
        <f t="shared" si="101"/>
        <v>0</v>
      </c>
      <c r="BU52" s="529">
        <f t="shared" si="102"/>
        <v>0</v>
      </c>
      <c r="BV52" s="529">
        <f t="shared" si="103"/>
        <v>0</v>
      </c>
      <c r="BW52" s="532" t="str">
        <f t="shared" si="80"/>
        <v/>
      </c>
      <c r="BX52" s="532" t="str">
        <f t="shared" si="81"/>
        <v/>
      </c>
      <c r="BY52" s="532" t="str">
        <f t="shared" si="82"/>
        <v/>
      </c>
      <c r="BZ52" s="532" t="str">
        <f t="shared" si="83"/>
        <v/>
      </c>
      <c r="CA52" s="532">
        <f t="shared" si="84"/>
        <v>0</v>
      </c>
      <c r="CB52" s="533"/>
      <c r="CC52" s="624">
        <f t="shared" si="85"/>
        <v>0</v>
      </c>
      <c r="CD52" s="534">
        <f t="shared" si="86"/>
        <v>0</v>
      </c>
      <c r="CE52" s="534">
        <f t="shared" si="87"/>
        <v>0</v>
      </c>
      <c r="CF52" s="534">
        <f t="shared" si="88"/>
        <v>0</v>
      </c>
      <c r="CG52" s="534"/>
      <c r="CH52" s="534"/>
      <c r="CI52" s="534">
        <f t="shared" si="104"/>
        <v>0</v>
      </c>
      <c r="CL52" s="534">
        <f>IF(ISNA(VLOOKUP(I52,Veg_Parameters!$A$3:$N$65,13,FALSE)),0,(VLOOKUP(I52,Veg_Parameters!$A$3:$N$65,13,FALSE)))</f>
        <v>0</v>
      </c>
      <c r="CM52" s="534">
        <f t="shared" si="105"/>
        <v>0</v>
      </c>
      <c r="CN52" s="534">
        <f>IF(ISNA(VLOOKUP(N52,Veg_Parameters!$A$3:$N$65,13,FALSE)),0,(VLOOKUP(N52,Veg_Parameters!$A$3:$N$65,13,FALSE)))</f>
        <v>0</v>
      </c>
      <c r="CO52" s="523">
        <f t="shared" si="106"/>
        <v>0</v>
      </c>
    </row>
    <row r="53" spans="1:93" x14ac:dyDescent="0.2">
      <c r="A53" s="227"/>
      <c r="B53" s="171" t="str">
        <f t="shared" si="107"/>
        <v/>
      </c>
      <c r="C53" s="230"/>
      <c r="D53" s="169"/>
      <c r="E53" s="165"/>
      <c r="F53" s="165"/>
      <c r="G53" s="165"/>
      <c r="H53" s="165"/>
      <c r="I53" s="168"/>
      <c r="J53" s="167"/>
      <c r="K53" s="168"/>
      <c r="L53" s="167"/>
      <c r="M53" s="167"/>
      <c r="N53" s="168"/>
      <c r="O53" s="168"/>
      <c r="P53" s="167"/>
      <c r="Q53" s="167"/>
      <c r="R53" s="167"/>
      <c r="S53" s="222" t="str">
        <f>IF(ISBLANK(A53),"",IF(ISNA(VLOOKUP(I53,Veg_Parameters!$A$3:$N$65,3,FALSE)),0,(VLOOKUP(I53,Veg_Parameters!$A$3:$N$65,3,FALSE))))</f>
        <v/>
      </c>
      <c r="T53" s="222" t="str">
        <f>IF(ISBLANK(N53),"",IF(ISNA(VLOOKUP(N53,Veg_Parameters!$A$3:$N$65,3,FALSE)),0,(VLOOKUP(N53,Veg_Parameters!$A$3:$N$65,3,FALSE))))</f>
        <v/>
      </c>
      <c r="U53" s="523">
        <f t="shared" si="89"/>
        <v>0</v>
      </c>
      <c r="V53" s="523">
        <f t="shared" si="66"/>
        <v>0</v>
      </c>
      <c r="W53" s="524">
        <f>IF(ISBLANK(A53),0,IF(ISNA(VLOOKUP($I53,Veg_Parameters!$A$3:$N$65,10,FALSE)),0,(VLOOKUP($I53,Veg_Parameters!$A$3:$N$65,10,FALSE))))</f>
        <v>0</v>
      </c>
      <c r="X53" s="524">
        <f>IF(ISBLANK(A53),0,IF(ISNA(VLOOKUP($I53,Veg_Parameters!$A$3:$N$65,11,FALSE)),0,(VLOOKUP($I53,Veg_Parameters!$A$3:$N$65,11,FALSE))))</f>
        <v>0</v>
      </c>
      <c r="Y53" s="524">
        <f>IF(ISBLANK(A53),0,IF(ISNA(VLOOKUP($I53,Veg_Parameters!$A$3:$N$65,12,FALSE)),0,(VLOOKUP($I53,Veg_Parameters!$A$3:$N$65,12,FALSE))))</f>
        <v>0</v>
      </c>
      <c r="Z53" s="525">
        <f t="shared" si="1"/>
        <v>0</v>
      </c>
      <c r="AA53" s="525">
        <f t="shared" si="67"/>
        <v>0</v>
      </c>
      <c r="AB53" s="525">
        <f t="shared" si="68"/>
        <v>0</v>
      </c>
      <c r="AC53" s="524">
        <f>IF(ISBLANK(N53),0,IF(ISNA(VLOOKUP($N53,Veg_Parameters!$A$3:$N$65,10,FALSE)),0,(VLOOKUP($N53,Veg_Parameters!$A$3:$N$65,10,FALSE))))</f>
        <v>0</v>
      </c>
      <c r="AD53" s="524">
        <f>IF(ISBLANK(N53),0,IF(ISNA(VLOOKUP($N53,Veg_Parameters!$A$3:$N$65,11,FALSE)),0,(VLOOKUP($N53,Veg_Parameters!$A$3:$N$65,11,FALSE))))</f>
        <v>0</v>
      </c>
      <c r="AE53" s="524">
        <f>IF(ISBLANK(N53), 0, IF(ISNA(VLOOKUP($N53,Veg_Parameters!$A$3:$N$65,12,FALSE)),0,(VLOOKUP($N53,Veg_Parameters!$A$3:$N$65,12,FALSE))))</f>
        <v>0</v>
      </c>
      <c r="AF53" s="523">
        <f t="shared" si="69"/>
        <v>0</v>
      </c>
      <c r="AG53" s="523">
        <f t="shared" si="70"/>
        <v>0</v>
      </c>
      <c r="AH53" s="523">
        <f t="shared" si="71"/>
        <v>0</v>
      </c>
      <c r="AI53" s="526"/>
      <c r="AJ53" s="527">
        <f>AB53*(IF(ISNA(VLOOKUP($I53,Veg_Parameters!$A$3:$N$65,5,FALSE)),0,(VLOOKUP($I53,Veg_Parameters!$A$3:$N$65,5,FALSE))))</f>
        <v>0</v>
      </c>
      <c r="AK53" s="527">
        <f>IF(ISNA(VLOOKUP($I53,Veg_Parameters!$A$3:$N$65,4,FALSE)),0,(VLOOKUP($I53,Veg_Parameters!$A$3:$N$65,4,FALSE)))</f>
        <v>0</v>
      </c>
      <c r="AL53" s="527">
        <f>AB53*(IF(ISNA(VLOOKUP($I53,Veg_Parameters!$A$3:$N$65,7,FALSE)),0, (VLOOKUP($I53,Veg_Parameters!$A$3:$N$65,7,FALSE))))</f>
        <v>0</v>
      </c>
      <c r="AM53" s="528">
        <f>IF(ISNA(VLOOKUP($I53,Veg_Parameters!$A$3:$N$65,6,FALSE)), 0, (VLOOKUP($I53,Veg_Parameters!$A$3:$N$65,6,FALSE)))</f>
        <v>0</v>
      </c>
      <c r="AN53" s="529">
        <f t="shared" si="72"/>
        <v>20</v>
      </c>
      <c r="AO53" s="529">
        <f t="shared" si="73"/>
        <v>0</v>
      </c>
      <c r="AP53" s="529">
        <f t="shared" si="74"/>
        <v>0</v>
      </c>
      <c r="AQ53" s="530">
        <f t="shared" si="90"/>
        <v>0</v>
      </c>
      <c r="AR53" s="527" t="s">
        <v>3</v>
      </c>
      <c r="AS53" s="527">
        <f>IF(ISNA(VLOOKUP($I53,Veg_Parameters!$A$3:$N$65,8,FALSE)), 0, (VLOOKUP($I53,Veg_Parameters!$A$3:$N$65,8,FALSE)))</f>
        <v>0</v>
      </c>
      <c r="AT53" s="527">
        <f>AB53*(IF(ISNA(VLOOKUP($I53,Veg_Parameters!$A$3:$N$65,9,FALSE)), 0, (VLOOKUP($I53,Veg_Parameters!$A$3:$N$65,9,FALSE))))</f>
        <v>0</v>
      </c>
      <c r="AU53" s="527">
        <f>IF(ISBLANK(A53),0,VLOOKUP($I53,Veg_Parameters!$A$4:$U$65,21,))</f>
        <v>0</v>
      </c>
      <c r="AV53" s="527">
        <f t="shared" si="91"/>
        <v>0</v>
      </c>
      <c r="AW53" s="529">
        <f t="shared" si="92"/>
        <v>0</v>
      </c>
      <c r="AX53" s="529">
        <f t="shared" si="93"/>
        <v>0</v>
      </c>
      <c r="AY53" s="529">
        <f t="shared" si="75"/>
        <v>0</v>
      </c>
      <c r="AZ53" s="529">
        <f t="shared" si="94"/>
        <v>0</v>
      </c>
      <c r="BA53" s="529">
        <f t="shared" si="95"/>
        <v>0</v>
      </c>
      <c r="BB53" s="529">
        <f t="shared" si="96"/>
        <v>0</v>
      </c>
      <c r="BC53" s="529">
        <f t="shared" si="76"/>
        <v>0</v>
      </c>
      <c r="BD53" s="531"/>
      <c r="BE53" s="527">
        <f>AH53*(IF(ISNA(VLOOKUP($N53,Veg_Parameters!$A$3:$N$65,5,FALSE)),0,(VLOOKUP($N53,Veg_Parameters!$A$3:$N$65,5,FALSE))))</f>
        <v>0</v>
      </c>
      <c r="BF53" s="527">
        <f>IF(ISNA(VLOOKUP($N53,Veg_Parameters!$A$3:$N$65,4,FALSE)),0,(VLOOKUP($N53,Veg_Parameters!$A$3:$N$65,4,FALSE)))</f>
        <v>0</v>
      </c>
      <c r="BG53" s="527">
        <f>AH53*(IF(ISNA(VLOOKUP($N53,Veg_Parameters!$A$3:$N$65,7,FALSE)),0, (VLOOKUP($N53,Veg_Parameters!$A$3:$N$65,7,FALSE))))</f>
        <v>0</v>
      </c>
      <c r="BH53" s="527">
        <f>IF(ISNA(VLOOKUP($N53,Veg_Parameters!$A$3:$N$65,6,FALSE)), 0, (VLOOKUP($N53,Veg_Parameters!$A$3:$N$65,6,FALSE)))</f>
        <v>0</v>
      </c>
      <c r="BI53" s="529">
        <f t="shared" si="77"/>
        <v>20</v>
      </c>
      <c r="BJ53" s="529">
        <f t="shared" si="97"/>
        <v>0</v>
      </c>
      <c r="BK53" s="529">
        <f t="shared" si="78"/>
        <v>0</v>
      </c>
      <c r="BL53" s="530">
        <f t="shared" si="98"/>
        <v>0</v>
      </c>
      <c r="BM53" s="527" t="s">
        <v>3</v>
      </c>
      <c r="BN53" s="527">
        <f>IF(ISNA(VLOOKUP(N53,Veg_Parameters!$A$3:$N$65,8,FALSE)), 0, (VLOOKUP($N53,Veg_Parameters!$A$3:$N$65,8,FALSE)))</f>
        <v>0</v>
      </c>
      <c r="BO53" s="527">
        <f>AH53*(IF(ISNA(VLOOKUP($N53,Veg_Parameters!$A$3:$N$65,9,FALSE)), 0, (VLOOKUP($N53,Veg_Parameters!$A$3:$N$65,9,FALSE))))</f>
        <v>0</v>
      </c>
      <c r="BP53" s="527" t="str">
        <f>IF(ISBLANK(N53),"0",VLOOKUP($N53,Veg_Parameters!$A$4:$U$65,21,))</f>
        <v>0</v>
      </c>
      <c r="BQ53" s="529">
        <f t="shared" si="99"/>
        <v>0</v>
      </c>
      <c r="BR53" s="529">
        <f t="shared" si="100"/>
        <v>0</v>
      </c>
      <c r="BS53" s="529">
        <f t="shared" si="79"/>
        <v>0</v>
      </c>
      <c r="BT53" s="529">
        <f t="shared" si="101"/>
        <v>0</v>
      </c>
      <c r="BU53" s="529">
        <f t="shared" si="102"/>
        <v>0</v>
      </c>
      <c r="BV53" s="529">
        <f t="shared" si="103"/>
        <v>0</v>
      </c>
      <c r="BW53" s="532" t="str">
        <f t="shared" si="80"/>
        <v/>
      </c>
      <c r="BX53" s="532" t="str">
        <f t="shared" si="81"/>
        <v/>
      </c>
      <c r="BY53" s="532" t="str">
        <f t="shared" si="82"/>
        <v/>
      </c>
      <c r="BZ53" s="532" t="str">
        <f t="shared" si="83"/>
        <v/>
      </c>
      <c r="CA53" s="532">
        <f t="shared" si="84"/>
        <v>0</v>
      </c>
      <c r="CB53" s="533"/>
      <c r="CC53" s="624">
        <f t="shared" si="85"/>
        <v>0</v>
      </c>
      <c r="CD53" s="534">
        <f t="shared" si="86"/>
        <v>0</v>
      </c>
      <c r="CE53" s="534">
        <f t="shared" si="87"/>
        <v>0</v>
      </c>
      <c r="CF53" s="534">
        <f t="shared" si="88"/>
        <v>0</v>
      </c>
      <c r="CG53" s="534"/>
      <c r="CH53" s="534"/>
      <c r="CI53" s="534">
        <f t="shared" si="104"/>
        <v>0</v>
      </c>
      <c r="CL53" s="534">
        <f>IF(ISNA(VLOOKUP(I53,Veg_Parameters!$A$3:$N$65,13,FALSE)),0,(VLOOKUP(I53,Veg_Parameters!$A$3:$N$65,13,FALSE)))</f>
        <v>0</v>
      </c>
      <c r="CM53" s="534">
        <f t="shared" si="105"/>
        <v>0</v>
      </c>
      <c r="CN53" s="534">
        <f>IF(ISNA(VLOOKUP(N53,Veg_Parameters!$A$3:$N$65,13,FALSE)),0,(VLOOKUP(N53,Veg_Parameters!$A$3:$N$65,13,FALSE)))</f>
        <v>0</v>
      </c>
      <c r="CO53" s="523">
        <f t="shared" si="106"/>
        <v>0</v>
      </c>
    </row>
    <row r="54" spans="1:93" x14ac:dyDescent="0.2">
      <c r="A54" s="227"/>
      <c r="B54" s="171" t="str">
        <f t="shared" si="107"/>
        <v/>
      </c>
      <c r="C54" s="292" t="s">
        <v>27</v>
      </c>
      <c r="D54" s="234"/>
      <c r="E54" s="165"/>
      <c r="F54" s="165"/>
      <c r="G54" s="165"/>
      <c r="H54" s="165"/>
      <c r="I54" s="168"/>
      <c r="J54" s="167"/>
      <c r="K54" s="168"/>
      <c r="L54" s="167"/>
      <c r="M54" s="167"/>
      <c r="N54" s="168"/>
      <c r="O54" s="168"/>
      <c r="P54" s="167"/>
      <c r="Q54" s="167"/>
      <c r="R54" s="167"/>
      <c r="S54" s="222" t="str">
        <f>IF(ISBLANK(A54),"",IF(ISNA(VLOOKUP(I54,Veg_Parameters!$A$3:$N$65,3,FALSE)),0,(VLOOKUP(I54,Veg_Parameters!$A$3:$N$65,3,FALSE))))</f>
        <v/>
      </c>
      <c r="T54" s="222" t="str">
        <f>IF(ISBLANK(N54),"",IF(ISNA(VLOOKUP(N54,Veg_Parameters!$A$3:$N$65,3,FALSE)),0,(VLOOKUP(N54,Veg_Parameters!$A$3:$N$65,3,FALSE))))</f>
        <v/>
      </c>
      <c r="U54" s="523">
        <f t="shared" si="89"/>
        <v>0</v>
      </c>
      <c r="V54" s="523">
        <f t="shared" si="66"/>
        <v>0</v>
      </c>
      <c r="W54" s="524">
        <f>IF(ISBLANK(A54),0,IF(ISNA(VLOOKUP($I54,Veg_Parameters!$A$3:$N$65,10,FALSE)),0,(VLOOKUP($I54,Veg_Parameters!$A$3:$N$65,10,FALSE))))</f>
        <v>0</v>
      </c>
      <c r="X54" s="524">
        <f>IF(ISBLANK(A54),0,IF(ISNA(VLOOKUP($I54,Veg_Parameters!$A$3:$N$65,11,FALSE)),0,(VLOOKUP($I54,Veg_Parameters!$A$3:$N$65,11,FALSE))))</f>
        <v>0</v>
      </c>
      <c r="Y54" s="524">
        <f>IF(ISBLANK(A54),0,IF(ISNA(VLOOKUP($I54,Veg_Parameters!$A$3:$N$65,12,FALSE)),0,(VLOOKUP($I54,Veg_Parameters!$A$3:$N$65,12,FALSE))))</f>
        <v>0</v>
      </c>
      <c r="Z54" s="525">
        <f t="shared" si="1"/>
        <v>0</v>
      </c>
      <c r="AA54" s="525">
        <f t="shared" si="67"/>
        <v>0</v>
      </c>
      <c r="AB54" s="525">
        <f t="shared" si="68"/>
        <v>0</v>
      </c>
      <c r="AC54" s="524">
        <f>IF(ISBLANK(N54),0,IF(ISNA(VLOOKUP($N54,Veg_Parameters!$A$3:$N$65,10,FALSE)),0,(VLOOKUP($N54,Veg_Parameters!$A$3:$N$65,10,FALSE))))</f>
        <v>0</v>
      </c>
      <c r="AD54" s="524">
        <f>IF(ISBLANK(N54),0,IF(ISNA(VLOOKUP($N54,Veg_Parameters!$A$3:$N$65,11,FALSE)),0,(VLOOKUP($N54,Veg_Parameters!$A$3:$N$65,11,FALSE))))</f>
        <v>0</v>
      </c>
      <c r="AE54" s="524">
        <f>IF(ISBLANK(N54), 0, IF(ISNA(VLOOKUP($N54,Veg_Parameters!$A$3:$N$65,12,FALSE)),0,(VLOOKUP($N54,Veg_Parameters!$A$3:$N$65,12,FALSE))))</f>
        <v>0</v>
      </c>
      <c r="AF54" s="523">
        <f t="shared" si="69"/>
        <v>0</v>
      </c>
      <c r="AG54" s="523">
        <f t="shared" si="70"/>
        <v>0</v>
      </c>
      <c r="AH54" s="523">
        <f t="shared" si="71"/>
        <v>0</v>
      </c>
      <c r="AI54" s="526"/>
      <c r="AJ54" s="527">
        <f>AB54*(IF(ISNA(VLOOKUP($I54,Veg_Parameters!$A$3:$N$65,5,FALSE)),0,(VLOOKUP($I54,Veg_Parameters!$A$3:$N$65,5,FALSE))))</f>
        <v>0</v>
      </c>
      <c r="AK54" s="527">
        <f>IF(ISNA(VLOOKUP($I54,Veg_Parameters!$A$3:$N$65,4,FALSE)),0,(VLOOKUP($I54,Veg_Parameters!$A$3:$N$65,4,FALSE)))</f>
        <v>0</v>
      </c>
      <c r="AL54" s="527">
        <f>AB54*(IF(ISNA(VLOOKUP($I54,Veg_Parameters!$A$3:$N$65,7,FALSE)),0, (VLOOKUP($I54,Veg_Parameters!$A$3:$N$65,7,FALSE))))</f>
        <v>0</v>
      </c>
      <c r="AM54" s="528">
        <f>IF(ISNA(VLOOKUP($I54,Veg_Parameters!$A$3:$N$65,6,FALSE)), 0, (VLOOKUP($I54,Veg_Parameters!$A$3:$N$65,6,FALSE)))</f>
        <v>0</v>
      </c>
      <c r="AN54" s="529">
        <f t="shared" si="72"/>
        <v>20</v>
      </c>
      <c r="AO54" s="529">
        <f t="shared" si="73"/>
        <v>0</v>
      </c>
      <c r="AP54" s="529">
        <f t="shared" si="74"/>
        <v>0</v>
      </c>
      <c r="AQ54" s="530">
        <f t="shared" si="90"/>
        <v>0</v>
      </c>
      <c r="AR54" s="527" t="s">
        <v>3</v>
      </c>
      <c r="AS54" s="527">
        <f>IF(ISNA(VLOOKUP($I54,Veg_Parameters!$A$3:$N$65,8,FALSE)), 0, (VLOOKUP($I54,Veg_Parameters!$A$3:$N$65,8,FALSE)))</f>
        <v>0</v>
      </c>
      <c r="AT54" s="527">
        <f>AB54*(IF(ISNA(VLOOKUP($I54,Veg_Parameters!$A$3:$N$65,9,FALSE)), 0, (VLOOKUP($I54,Veg_Parameters!$A$3:$N$65,9,FALSE))))</f>
        <v>0</v>
      </c>
      <c r="AU54" s="527">
        <f>IF(ISBLANK(A54),0,VLOOKUP($I54,Veg_Parameters!$A$4:$U$65,21,))</f>
        <v>0</v>
      </c>
      <c r="AV54" s="527">
        <f t="shared" si="91"/>
        <v>0</v>
      </c>
      <c r="AW54" s="529">
        <f t="shared" si="92"/>
        <v>0</v>
      </c>
      <c r="AX54" s="529">
        <f t="shared" si="93"/>
        <v>0</v>
      </c>
      <c r="AY54" s="529">
        <f t="shared" si="75"/>
        <v>0</v>
      </c>
      <c r="AZ54" s="529">
        <f t="shared" si="94"/>
        <v>0</v>
      </c>
      <c r="BA54" s="529">
        <f t="shared" si="95"/>
        <v>0</v>
      </c>
      <c r="BB54" s="529">
        <f t="shared" si="96"/>
        <v>0</v>
      </c>
      <c r="BC54" s="529">
        <f t="shared" si="76"/>
        <v>0</v>
      </c>
      <c r="BD54" s="531"/>
      <c r="BE54" s="527">
        <f>AH54*(IF(ISNA(VLOOKUP($N54,Veg_Parameters!$A$3:$N$65,5,FALSE)),0,(VLOOKUP($N54,Veg_Parameters!$A$3:$N$65,5,FALSE))))</f>
        <v>0</v>
      </c>
      <c r="BF54" s="527">
        <f>IF(ISNA(VLOOKUP($N54,Veg_Parameters!$A$3:$N$65,4,FALSE)),0,(VLOOKUP($N54,Veg_Parameters!$A$3:$N$65,4,FALSE)))</f>
        <v>0</v>
      </c>
      <c r="BG54" s="527">
        <f>AH54*(IF(ISNA(VLOOKUP($N54,Veg_Parameters!$A$3:$N$65,7,FALSE)),0, (VLOOKUP($N54,Veg_Parameters!$A$3:$N$65,7,FALSE))))</f>
        <v>0</v>
      </c>
      <c r="BH54" s="527">
        <f>IF(ISNA(VLOOKUP($N54,Veg_Parameters!$A$3:$N$65,6,FALSE)), 0, (VLOOKUP($N54,Veg_Parameters!$A$3:$N$65,6,FALSE)))</f>
        <v>0</v>
      </c>
      <c r="BI54" s="529">
        <f t="shared" si="77"/>
        <v>20</v>
      </c>
      <c r="BJ54" s="529">
        <f t="shared" si="97"/>
        <v>0</v>
      </c>
      <c r="BK54" s="529">
        <f t="shared" si="78"/>
        <v>0</v>
      </c>
      <c r="BL54" s="530">
        <f t="shared" si="98"/>
        <v>0</v>
      </c>
      <c r="BM54" s="527" t="s">
        <v>3</v>
      </c>
      <c r="BN54" s="527">
        <f>IF(ISNA(VLOOKUP(N54,Veg_Parameters!$A$3:$N$65,8,FALSE)), 0, (VLOOKUP($N54,Veg_Parameters!$A$3:$N$65,8,FALSE)))</f>
        <v>0</v>
      </c>
      <c r="BO54" s="527">
        <f>AH54*(IF(ISNA(VLOOKUP($N54,Veg_Parameters!$A$3:$N$65,9,FALSE)), 0, (VLOOKUP($N54,Veg_Parameters!$A$3:$N$65,9,FALSE))))</f>
        <v>0</v>
      </c>
      <c r="BP54" s="527" t="str">
        <f>IF(ISBLANK(N54),"0",VLOOKUP($N54,Veg_Parameters!$A$4:$U$65,21,))</f>
        <v>0</v>
      </c>
      <c r="BQ54" s="529">
        <f t="shared" si="99"/>
        <v>0</v>
      </c>
      <c r="BR54" s="529">
        <f t="shared" si="100"/>
        <v>0</v>
      </c>
      <c r="BS54" s="529">
        <f t="shared" si="79"/>
        <v>0</v>
      </c>
      <c r="BT54" s="529">
        <f t="shared" si="101"/>
        <v>0</v>
      </c>
      <c r="BU54" s="529">
        <f t="shared" si="102"/>
        <v>0</v>
      </c>
      <c r="BV54" s="529">
        <f t="shared" si="103"/>
        <v>0</v>
      </c>
      <c r="BW54" s="532" t="str">
        <f t="shared" si="80"/>
        <v/>
      </c>
      <c r="BX54" s="532" t="str">
        <f t="shared" si="81"/>
        <v/>
      </c>
      <c r="BY54" s="532" t="str">
        <f t="shared" si="82"/>
        <v/>
      </c>
      <c r="BZ54" s="532" t="str">
        <f t="shared" si="83"/>
        <v/>
      </c>
      <c r="CA54" s="532">
        <f t="shared" si="84"/>
        <v>0</v>
      </c>
      <c r="CB54" s="533"/>
      <c r="CC54" s="624">
        <f t="shared" si="85"/>
        <v>0</v>
      </c>
      <c r="CD54" s="534">
        <f t="shared" si="86"/>
        <v>0</v>
      </c>
      <c r="CE54" s="534">
        <f t="shared" si="87"/>
        <v>0</v>
      </c>
      <c r="CF54" s="534">
        <f t="shared" si="88"/>
        <v>0</v>
      </c>
      <c r="CG54" s="534"/>
      <c r="CH54" s="534"/>
      <c r="CI54" s="534">
        <f t="shared" si="104"/>
        <v>0</v>
      </c>
      <c r="CL54" s="534">
        <f>IF(ISNA(VLOOKUP(I54,Veg_Parameters!$A$3:$N$65,13,FALSE)),0,(VLOOKUP(I54,Veg_Parameters!$A$3:$N$65,13,FALSE)))</f>
        <v>0</v>
      </c>
      <c r="CM54" s="534">
        <f t="shared" si="105"/>
        <v>0</v>
      </c>
      <c r="CN54" s="534">
        <f>IF(ISNA(VLOOKUP(N54,Veg_Parameters!$A$3:$N$65,13,FALSE)),0,(VLOOKUP(N54,Veg_Parameters!$A$3:$N$65,13,FALSE)))</f>
        <v>0</v>
      </c>
      <c r="CO54" s="523">
        <f t="shared" si="106"/>
        <v>0</v>
      </c>
    </row>
    <row r="55" spans="1:93" x14ac:dyDescent="0.2">
      <c r="A55" s="227"/>
      <c r="B55" s="171" t="str">
        <f t="shared" si="107"/>
        <v/>
      </c>
      <c r="C55" s="230"/>
      <c r="D55" s="169"/>
      <c r="E55" s="165"/>
      <c r="F55" s="165"/>
      <c r="G55" s="165"/>
      <c r="H55" s="165"/>
      <c r="I55" s="168"/>
      <c r="J55" s="167"/>
      <c r="K55" s="168"/>
      <c r="L55" s="167"/>
      <c r="M55" s="167"/>
      <c r="N55" s="168"/>
      <c r="O55" s="168"/>
      <c r="P55" s="167"/>
      <c r="Q55" s="167"/>
      <c r="R55" s="167"/>
      <c r="S55" s="222" t="str">
        <f>IF(ISBLANK(A55),"",IF(ISNA(VLOOKUP(I55,Veg_Parameters!$A$3:$N$65,3,FALSE)),0,(VLOOKUP(I55,Veg_Parameters!$A$3:$N$65,3,FALSE))))</f>
        <v/>
      </c>
      <c r="T55" s="222" t="str">
        <f>IF(ISBLANK(N55),"",IF(ISNA(VLOOKUP(N55,Veg_Parameters!$A$3:$N$65,3,FALSE)),0,(VLOOKUP(N55,Veg_Parameters!$A$3:$N$65,3,FALSE))))</f>
        <v/>
      </c>
      <c r="U55" s="523">
        <f t="shared" si="89"/>
        <v>0</v>
      </c>
      <c r="V55" s="523">
        <f t="shared" si="66"/>
        <v>0</v>
      </c>
      <c r="W55" s="524">
        <f>IF(ISBLANK(A55),0,IF(ISNA(VLOOKUP($I55,Veg_Parameters!$A$3:$N$65,10,FALSE)),0,(VLOOKUP($I55,Veg_Parameters!$A$3:$N$65,10,FALSE))))</f>
        <v>0</v>
      </c>
      <c r="X55" s="524">
        <f>IF(ISBLANK(A55),0,IF(ISNA(VLOOKUP($I55,Veg_Parameters!$A$3:$N$65,11,FALSE)),0,(VLOOKUP($I55,Veg_Parameters!$A$3:$N$65,11,FALSE))))</f>
        <v>0</v>
      </c>
      <c r="Y55" s="524">
        <f>IF(ISBLANK(A55),0,IF(ISNA(VLOOKUP($I55,Veg_Parameters!$A$3:$N$65,12,FALSE)),0,(VLOOKUP($I55,Veg_Parameters!$A$3:$N$65,12,FALSE))))</f>
        <v>0</v>
      </c>
      <c r="Z55" s="525">
        <f t="shared" si="1"/>
        <v>0</v>
      </c>
      <c r="AA55" s="525">
        <f t="shared" si="67"/>
        <v>0</v>
      </c>
      <c r="AB55" s="525">
        <f t="shared" si="68"/>
        <v>0</v>
      </c>
      <c r="AC55" s="524">
        <f>IF(ISBLANK(N55),0,IF(ISNA(VLOOKUP($N55,Veg_Parameters!$A$3:$N$65,10,FALSE)),0,(VLOOKUP($N55,Veg_Parameters!$A$3:$N$65,10,FALSE))))</f>
        <v>0</v>
      </c>
      <c r="AD55" s="524">
        <f>IF(ISBLANK(N55),0,IF(ISNA(VLOOKUP($N55,Veg_Parameters!$A$3:$N$65,11,FALSE)),0,(VLOOKUP($N55,Veg_Parameters!$A$3:$N$65,11,FALSE))))</f>
        <v>0</v>
      </c>
      <c r="AE55" s="524">
        <f>IF(ISBLANK(N55), 0, IF(ISNA(VLOOKUP($N55,Veg_Parameters!$A$3:$N$65,12,FALSE)),0,(VLOOKUP($N55,Veg_Parameters!$A$3:$N$65,12,FALSE))))</f>
        <v>0</v>
      </c>
      <c r="AF55" s="523">
        <f t="shared" si="69"/>
        <v>0</v>
      </c>
      <c r="AG55" s="523">
        <f t="shared" si="70"/>
        <v>0</v>
      </c>
      <c r="AH55" s="523">
        <f t="shared" si="71"/>
        <v>0</v>
      </c>
      <c r="AI55" s="526"/>
      <c r="AJ55" s="527">
        <f>AB55*(IF(ISNA(VLOOKUP($I55,Veg_Parameters!$A$3:$N$65,5,FALSE)),0,(VLOOKUP($I55,Veg_Parameters!$A$3:$N$65,5,FALSE))))</f>
        <v>0</v>
      </c>
      <c r="AK55" s="527">
        <f>IF(ISNA(VLOOKUP($I55,Veg_Parameters!$A$3:$N$65,4,FALSE)),0,(VLOOKUP($I55,Veg_Parameters!$A$3:$N$65,4,FALSE)))</f>
        <v>0</v>
      </c>
      <c r="AL55" s="527">
        <f>AB55*(IF(ISNA(VLOOKUP($I55,Veg_Parameters!$A$3:$N$65,7,FALSE)),0, (VLOOKUP($I55,Veg_Parameters!$A$3:$N$65,7,FALSE))))</f>
        <v>0</v>
      </c>
      <c r="AM55" s="528">
        <f>IF(ISNA(VLOOKUP($I55,Veg_Parameters!$A$3:$N$65,6,FALSE)), 0, (VLOOKUP($I55,Veg_Parameters!$A$3:$N$65,6,FALSE)))</f>
        <v>0</v>
      </c>
      <c r="AN55" s="529">
        <f t="shared" si="72"/>
        <v>20</v>
      </c>
      <c r="AO55" s="529">
        <f t="shared" si="73"/>
        <v>0</v>
      </c>
      <c r="AP55" s="529">
        <f t="shared" si="74"/>
        <v>0</v>
      </c>
      <c r="AQ55" s="530">
        <f t="shared" si="90"/>
        <v>0</v>
      </c>
      <c r="AR55" s="527" t="s">
        <v>3</v>
      </c>
      <c r="AS55" s="527">
        <f>IF(ISNA(VLOOKUP($I55,Veg_Parameters!$A$3:$N$65,8,FALSE)), 0, (VLOOKUP($I55,Veg_Parameters!$A$3:$N$65,8,FALSE)))</f>
        <v>0</v>
      </c>
      <c r="AT55" s="527">
        <f>AB55*(IF(ISNA(VLOOKUP($I55,Veg_Parameters!$A$3:$N$65,9,FALSE)), 0, (VLOOKUP($I55,Veg_Parameters!$A$3:$N$65,9,FALSE))))</f>
        <v>0</v>
      </c>
      <c r="AU55" s="527">
        <f>IF(ISBLANK(A55),0,VLOOKUP($I55,Veg_Parameters!$A$4:$U$65,21,))</f>
        <v>0</v>
      </c>
      <c r="AV55" s="527">
        <f t="shared" si="91"/>
        <v>0</v>
      </c>
      <c r="AW55" s="529">
        <f t="shared" si="92"/>
        <v>0</v>
      </c>
      <c r="AX55" s="529">
        <f t="shared" si="93"/>
        <v>0</v>
      </c>
      <c r="AY55" s="529">
        <f t="shared" si="75"/>
        <v>0</v>
      </c>
      <c r="AZ55" s="529">
        <f t="shared" si="94"/>
        <v>0</v>
      </c>
      <c r="BA55" s="529">
        <f t="shared" si="95"/>
        <v>0</v>
      </c>
      <c r="BB55" s="529">
        <f t="shared" si="96"/>
        <v>0</v>
      </c>
      <c r="BC55" s="529">
        <f t="shared" si="76"/>
        <v>0</v>
      </c>
      <c r="BD55" s="531"/>
      <c r="BE55" s="527">
        <f>AH55*(IF(ISNA(VLOOKUP($N55,Veg_Parameters!$A$3:$N$65,5,FALSE)),0,(VLOOKUP($N55,Veg_Parameters!$A$3:$N$65,5,FALSE))))</f>
        <v>0</v>
      </c>
      <c r="BF55" s="527">
        <f>IF(ISNA(VLOOKUP($N55,Veg_Parameters!$A$3:$N$65,4,FALSE)),0,(VLOOKUP($N55,Veg_Parameters!$A$3:$N$65,4,FALSE)))</f>
        <v>0</v>
      </c>
      <c r="BG55" s="527">
        <f>AH55*(IF(ISNA(VLOOKUP($N55,Veg_Parameters!$A$3:$N$65,7,FALSE)),0, (VLOOKUP($N55,Veg_Parameters!$A$3:$N$65,7,FALSE))))</f>
        <v>0</v>
      </c>
      <c r="BH55" s="527">
        <f>IF(ISNA(VLOOKUP($N55,Veg_Parameters!$A$3:$N$65,6,FALSE)), 0, (VLOOKUP($N55,Veg_Parameters!$A$3:$N$65,6,FALSE)))</f>
        <v>0</v>
      </c>
      <c r="BI55" s="529">
        <f t="shared" si="77"/>
        <v>20</v>
      </c>
      <c r="BJ55" s="529">
        <f t="shared" si="97"/>
        <v>0</v>
      </c>
      <c r="BK55" s="529">
        <f t="shared" si="78"/>
        <v>0</v>
      </c>
      <c r="BL55" s="530">
        <f t="shared" si="98"/>
        <v>0</v>
      </c>
      <c r="BM55" s="527" t="s">
        <v>3</v>
      </c>
      <c r="BN55" s="527">
        <f>IF(ISNA(VLOOKUP(N55,Veg_Parameters!$A$3:$N$65,8,FALSE)), 0, (VLOOKUP($N55,Veg_Parameters!$A$3:$N$65,8,FALSE)))</f>
        <v>0</v>
      </c>
      <c r="BO55" s="527">
        <f>AH55*(IF(ISNA(VLOOKUP($N55,Veg_Parameters!$A$3:$N$65,9,FALSE)), 0, (VLOOKUP($N55,Veg_Parameters!$A$3:$N$65,9,FALSE))))</f>
        <v>0</v>
      </c>
      <c r="BP55" s="527" t="str">
        <f>IF(ISBLANK(N55),"0",VLOOKUP($N55,Veg_Parameters!$A$4:$U$65,21,))</f>
        <v>0</v>
      </c>
      <c r="BQ55" s="529">
        <f t="shared" si="99"/>
        <v>0</v>
      </c>
      <c r="BR55" s="529">
        <f t="shared" si="100"/>
        <v>0</v>
      </c>
      <c r="BS55" s="529">
        <f t="shared" si="79"/>
        <v>0</v>
      </c>
      <c r="BT55" s="529">
        <f t="shared" si="101"/>
        <v>0</v>
      </c>
      <c r="BU55" s="529">
        <f t="shared" si="102"/>
        <v>0</v>
      </c>
      <c r="BV55" s="529">
        <f t="shared" si="103"/>
        <v>0</v>
      </c>
      <c r="BW55" s="532" t="str">
        <f t="shared" si="80"/>
        <v/>
      </c>
      <c r="BX55" s="532" t="str">
        <f t="shared" si="81"/>
        <v/>
      </c>
      <c r="BY55" s="532" t="str">
        <f t="shared" si="82"/>
        <v/>
      </c>
      <c r="BZ55" s="532" t="str">
        <f t="shared" si="83"/>
        <v/>
      </c>
      <c r="CA55" s="532">
        <f t="shared" si="84"/>
        <v>0</v>
      </c>
      <c r="CB55" s="533"/>
      <c r="CC55" s="624">
        <f t="shared" si="85"/>
        <v>0</v>
      </c>
      <c r="CD55" s="534">
        <f t="shared" si="86"/>
        <v>0</v>
      </c>
      <c r="CE55" s="534">
        <f t="shared" si="87"/>
        <v>0</v>
      </c>
      <c r="CF55" s="534">
        <f t="shared" si="88"/>
        <v>0</v>
      </c>
      <c r="CG55" s="534"/>
      <c r="CH55" s="534"/>
      <c r="CI55" s="534">
        <f t="shared" si="104"/>
        <v>0</v>
      </c>
      <c r="CL55" s="534">
        <f>IF(ISNA(VLOOKUP(I55,Veg_Parameters!$A$3:$N$65,13,FALSE)),0,(VLOOKUP(I55,Veg_Parameters!$A$3:$N$65,13,FALSE)))</f>
        <v>0</v>
      </c>
      <c r="CM55" s="534">
        <f t="shared" si="105"/>
        <v>0</v>
      </c>
      <c r="CN55" s="534">
        <f>IF(ISNA(VLOOKUP(N55,Veg_Parameters!$A$3:$N$65,13,FALSE)),0,(VLOOKUP(N55,Veg_Parameters!$A$3:$N$65,13,FALSE)))</f>
        <v>0</v>
      </c>
      <c r="CO55" s="523">
        <f t="shared" si="106"/>
        <v>0</v>
      </c>
    </row>
    <row r="56" spans="1:93" x14ac:dyDescent="0.2">
      <c r="A56" s="227"/>
      <c r="B56" s="171" t="str">
        <f t="shared" si="107"/>
        <v/>
      </c>
      <c r="C56" s="230"/>
      <c r="D56" s="169"/>
      <c r="E56" s="165"/>
      <c r="F56" s="165"/>
      <c r="G56" s="165"/>
      <c r="H56" s="165"/>
      <c r="I56" s="168"/>
      <c r="J56" s="167"/>
      <c r="K56" s="168"/>
      <c r="L56" s="167"/>
      <c r="M56" s="167"/>
      <c r="N56" s="168"/>
      <c r="O56" s="168"/>
      <c r="P56" s="167"/>
      <c r="Q56" s="167"/>
      <c r="R56" s="167"/>
      <c r="S56" s="222" t="str">
        <f>IF(ISBLANK(A56),"",IF(ISNA(VLOOKUP(I56,Veg_Parameters!$A$3:$N$65,3,FALSE)),0,(VLOOKUP(I56,Veg_Parameters!$A$3:$N$65,3,FALSE))))</f>
        <v/>
      </c>
      <c r="T56" s="222" t="str">
        <f>IF(ISBLANK(N56),"",IF(ISNA(VLOOKUP(N56,Veg_Parameters!$A$3:$N$65,3,FALSE)),0,(VLOOKUP(N56,Veg_Parameters!$A$3:$N$65,3,FALSE))))</f>
        <v/>
      </c>
      <c r="U56" s="523">
        <f t="shared" si="89"/>
        <v>0</v>
      </c>
      <c r="V56" s="523">
        <f t="shared" si="66"/>
        <v>0</v>
      </c>
      <c r="W56" s="524">
        <f>IF(ISBLANK(A56),0,IF(ISNA(VLOOKUP($I56,Veg_Parameters!$A$3:$N$65,10,FALSE)),0,(VLOOKUP($I56,Veg_Parameters!$A$3:$N$65,10,FALSE))))</f>
        <v>0</v>
      </c>
      <c r="X56" s="524">
        <f>IF(ISBLANK(A56),0,IF(ISNA(VLOOKUP($I56,Veg_Parameters!$A$3:$N$65,11,FALSE)),0,(VLOOKUP($I56,Veg_Parameters!$A$3:$N$65,11,FALSE))))</f>
        <v>0</v>
      </c>
      <c r="Y56" s="524">
        <f>IF(ISBLANK(A56),0,IF(ISNA(VLOOKUP($I56,Veg_Parameters!$A$3:$N$65,12,FALSE)),0,(VLOOKUP($I56,Veg_Parameters!$A$3:$N$65,12,FALSE))))</f>
        <v>0</v>
      </c>
      <c r="Z56" s="525">
        <f t="shared" si="1"/>
        <v>0</v>
      </c>
      <c r="AA56" s="525">
        <f t="shared" si="67"/>
        <v>0</v>
      </c>
      <c r="AB56" s="525">
        <f t="shared" si="68"/>
        <v>0</v>
      </c>
      <c r="AC56" s="524">
        <f>IF(ISBLANK(N56),0,IF(ISNA(VLOOKUP($N56,Veg_Parameters!$A$3:$N$65,10,FALSE)),0,(VLOOKUP($N56,Veg_Parameters!$A$3:$N$65,10,FALSE))))</f>
        <v>0</v>
      </c>
      <c r="AD56" s="524">
        <f>IF(ISBLANK(N56),0,IF(ISNA(VLOOKUP($N56,Veg_Parameters!$A$3:$N$65,11,FALSE)),0,(VLOOKUP($N56,Veg_Parameters!$A$3:$N$65,11,FALSE))))</f>
        <v>0</v>
      </c>
      <c r="AE56" s="524">
        <f>IF(ISBLANK(N56), 0, IF(ISNA(VLOOKUP($N56,Veg_Parameters!$A$3:$N$65,12,FALSE)),0,(VLOOKUP($N56,Veg_Parameters!$A$3:$N$65,12,FALSE))))</f>
        <v>0</v>
      </c>
      <c r="AF56" s="523">
        <f t="shared" si="69"/>
        <v>0</v>
      </c>
      <c r="AG56" s="523">
        <f t="shared" si="70"/>
        <v>0</v>
      </c>
      <c r="AH56" s="523">
        <f t="shared" si="71"/>
        <v>0</v>
      </c>
      <c r="AI56" s="526"/>
      <c r="AJ56" s="527">
        <f>AB56*(IF(ISNA(VLOOKUP($I56,Veg_Parameters!$A$3:$N$65,5,FALSE)),0,(VLOOKUP($I56,Veg_Parameters!$A$3:$N$65,5,FALSE))))</f>
        <v>0</v>
      </c>
      <c r="AK56" s="527">
        <f>IF(ISNA(VLOOKUP($I56,Veg_Parameters!$A$3:$N$65,4,FALSE)),0,(VLOOKUP($I56,Veg_Parameters!$A$3:$N$65,4,FALSE)))</f>
        <v>0</v>
      </c>
      <c r="AL56" s="527">
        <f>AB56*(IF(ISNA(VLOOKUP($I56,Veg_Parameters!$A$3:$N$65,7,FALSE)),0, (VLOOKUP($I56,Veg_Parameters!$A$3:$N$65,7,FALSE))))</f>
        <v>0</v>
      </c>
      <c r="AM56" s="528">
        <f>IF(ISNA(VLOOKUP($I56,Veg_Parameters!$A$3:$N$65,6,FALSE)), 0, (VLOOKUP($I56,Veg_Parameters!$A$3:$N$65,6,FALSE)))</f>
        <v>0</v>
      </c>
      <c r="AN56" s="529">
        <f t="shared" si="72"/>
        <v>20</v>
      </c>
      <c r="AO56" s="529">
        <f t="shared" si="73"/>
        <v>0</v>
      </c>
      <c r="AP56" s="529">
        <f t="shared" si="74"/>
        <v>0</v>
      </c>
      <c r="AQ56" s="530">
        <f t="shared" si="90"/>
        <v>0</v>
      </c>
      <c r="AR56" s="527" t="s">
        <v>3</v>
      </c>
      <c r="AS56" s="527">
        <f>IF(ISNA(VLOOKUP($I56,Veg_Parameters!$A$3:$N$65,8,FALSE)), 0, (VLOOKUP($I56,Veg_Parameters!$A$3:$N$65,8,FALSE)))</f>
        <v>0</v>
      </c>
      <c r="AT56" s="527">
        <f>AB56*(IF(ISNA(VLOOKUP($I56,Veg_Parameters!$A$3:$N$65,9,FALSE)), 0, (VLOOKUP($I56,Veg_Parameters!$A$3:$N$65,9,FALSE))))</f>
        <v>0</v>
      </c>
      <c r="AU56" s="527">
        <f>IF(ISBLANK(A56),0,VLOOKUP($I56,Veg_Parameters!$A$4:$U$65,21,))</f>
        <v>0</v>
      </c>
      <c r="AV56" s="527">
        <f t="shared" si="91"/>
        <v>0</v>
      </c>
      <c r="AW56" s="529">
        <f t="shared" si="92"/>
        <v>0</v>
      </c>
      <c r="AX56" s="529">
        <f t="shared" si="93"/>
        <v>0</v>
      </c>
      <c r="AY56" s="529">
        <f t="shared" si="75"/>
        <v>0</v>
      </c>
      <c r="AZ56" s="529">
        <f t="shared" si="94"/>
        <v>0</v>
      </c>
      <c r="BA56" s="529">
        <f t="shared" si="95"/>
        <v>0</v>
      </c>
      <c r="BB56" s="529">
        <f t="shared" si="96"/>
        <v>0</v>
      </c>
      <c r="BC56" s="529">
        <f t="shared" si="76"/>
        <v>0</v>
      </c>
      <c r="BD56" s="531"/>
      <c r="BE56" s="527">
        <f>AH56*(IF(ISNA(VLOOKUP($N56,Veg_Parameters!$A$3:$N$65,5,FALSE)),0,(VLOOKUP($N56,Veg_Parameters!$A$3:$N$65,5,FALSE))))</f>
        <v>0</v>
      </c>
      <c r="BF56" s="527">
        <f>IF(ISNA(VLOOKUP($N56,Veg_Parameters!$A$3:$N$65,4,FALSE)),0,(VLOOKUP($N56,Veg_Parameters!$A$3:$N$65,4,FALSE)))</f>
        <v>0</v>
      </c>
      <c r="BG56" s="527">
        <f>AH56*(IF(ISNA(VLOOKUP($N56,Veg_Parameters!$A$3:$N$65,7,FALSE)),0, (VLOOKUP($N56,Veg_Parameters!$A$3:$N$65,7,FALSE))))</f>
        <v>0</v>
      </c>
      <c r="BH56" s="527">
        <f>IF(ISNA(VLOOKUP($N56,Veg_Parameters!$A$3:$N$65,6,FALSE)), 0, (VLOOKUP($N56,Veg_Parameters!$A$3:$N$65,6,FALSE)))</f>
        <v>0</v>
      </c>
      <c r="BI56" s="529">
        <f t="shared" si="77"/>
        <v>20</v>
      </c>
      <c r="BJ56" s="529">
        <f t="shared" si="97"/>
        <v>0</v>
      </c>
      <c r="BK56" s="529">
        <f t="shared" si="78"/>
        <v>0</v>
      </c>
      <c r="BL56" s="530">
        <f t="shared" si="98"/>
        <v>0</v>
      </c>
      <c r="BM56" s="527" t="s">
        <v>3</v>
      </c>
      <c r="BN56" s="527">
        <f>IF(ISNA(VLOOKUP(N56,Veg_Parameters!$A$3:$N$65,8,FALSE)), 0, (VLOOKUP($N56,Veg_Parameters!$A$3:$N$65,8,FALSE)))</f>
        <v>0</v>
      </c>
      <c r="BO56" s="527">
        <f>AH56*(IF(ISNA(VLOOKUP($N56,Veg_Parameters!$A$3:$N$65,9,FALSE)), 0, (VLOOKUP($N56,Veg_Parameters!$A$3:$N$65,9,FALSE))))</f>
        <v>0</v>
      </c>
      <c r="BP56" s="527" t="str">
        <f>IF(ISBLANK(N56),"0",VLOOKUP($N56,Veg_Parameters!$A$4:$U$65,21,))</f>
        <v>0</v>
      </c>
      <c r="BQ56" s="529">
        <f t="shared" si="99"/>
        <v>0</v>
      </c>
      <c r="BR56" s="529">
        <f t="shared" si="100"/>
        <v>0</v>
      </c>
      <c r="BS56" s="529">
        <f t="shared" si="79"/>
        <v>0</v>
      </c>
      <c r="BT56" s="529">
        <f t="shared" si="101"/>
        <v>0</v>
      </c>
      <c r="BU56" s="529">
        <f t="shared" si="102"/>
        <v>0</v>
      </c>
      <c r="BV56" s="529">
        <f t="shared" si="103"/>
        <v>0</v>
      </c>
      <c r="BW56" s="532" t="str">
        <f t="shared" si="80"/>
        <v/>
      </c>
      <c r="BX56" s="532" t="str">
        <f t="shared" si="81"/>
        <v/>
      </c>
      <c r="BY56" s="532" t="str">
        <f t="shared" si="82"/>
        <v/>
      </c>
      <c r="BZ56" s="532" t="str">
        <f t="shared" si="83"/>
        <v/>
      </c>
      <c r="CA56" s="532">
        <f t="shared" si="84"/>
        <v>0</v>
      </c>
      <c r="CB56" s="533"/>
      <c r="CC56" s="624">
        <f t="shared" si="85"/>
        <v>0</v>
      </c>
      <c r="CD56" s="534">
        <f t="shared" si="86"/>
        <v>0</v>
      </c>
      <c r="CE56" s="534">
        <f t="shared" si="87"/>
        <v>0</v>
      </c>
      <c r="CF56" s="534">
        <f t="shared" si="88"/>
        <v>0</v>
      </c>
      <c r="CG56" s="534"/>
      <c r="CH56" s="534"/>
      <c r="CI56" s="534">
        <f t="shared" si="104"/>
        <v>0</v>
      </c>
      <c r="CL56" s="534">
        <f>IF(ISNA(VLOOKUP(I56,Veg_Parameters!$A$3:$N$65,13,FALSE)),0,(VLOOKUP(I56,Veg_Parameters!$A$3:$N$65,13,FALSE)))</f>
        <v>0</v>
      </c>
      <c r="CM56" s="534">
        <f t="shared" si="105"/>
        <v>0</v>
      </c>
      <c r="CN56" s="534">
        <f>IF(ISNA(VLOOKUP(N56,Veg_Parameters!$A$3:$N$65,13,FALSE)),0,(VLOOKUP(N56,Veg_Parameters!$A$3:$N$65,13,FALSE)))</f>
        <v>0</v>
      </c>
      <c r="CO56" s="523">
        <f t="shared" si="106"/>
        <v>0</v>
      </c>
    </row>
    <row r="57" spans="1:93" x14ac:dyDescent="0.2">
      <c r="A57" s="227"/>
      <c r="B57" s="171" t="str">
        <f t="shared" si="107"/>
        <v/>
      </c>
      <c r="C57" s="230"/>
      <c r="D57" s="169"/>
      <c r="E57" s="165"/>
      <c r="F57" s="165"/>
      <c r="G57" s="165"/>
      <c r="H57" s="165"/>
      <c r="I57" s="168"/>
      <c r="J57" s="167"/>
      <c r="K57" s="168"/>
      <c r="L57" s="167"/>
      <c r="M57" s="167"/>
      <c r="N57" s="168"/>
      <c r="O57" s="168"/>
      <c r="P57" s="167"/>
      <c r="Q57" s="167"/>
      <c r="R57" s="167"/>
      <c r="S57" s="222" t="str">
        <f>IF(ISBLANK(A57),"",IF(ISNA(VLOOKUP(I57,Veg_Parameters!$A$3:$N$65,3,FALSE)),0,(VLOOKUP(I57,Veg_Parameters!$A$3:$N$65,3,FALSE))))</f>
        <v/>
      </c>
      <c r="T57" s="222" t="str">
        <f>IF(ISBLANK(N57),"",IF(ISNA(VLOOKUP(N57,Veg_Parameters!$A$3:$N$65,3,FALSE)),0,(VLOOKUP(N57,Veg_Parameters!$A$3:$N$65,3,FALSE))))</f>
        <v/>
      </c>
      <c r="U57" s="523">
        <f t="shared" si="89"/>
        <v>0</v>
      </c>
      <c r="V57" s="523">
        <f t="shared" si="66"/>
        <v>0</v>
      </c>
      <c r="W57" s="524">
        <f>IF(ISBLANK(A57),0,IF(ISNA(VLOOKUP($I57,Veg_Parameters!$A$3:$N$65,10,FALSE)),0,(VLOOKUP($I57,Veg_Parameters!$A$3:$N$65,10,FALSE))))</f>
        <v>0</v>
      </c>
      <c r="X57" s="524">
        <f>IF(ISBLANK(A57),0,IF(ISNA(VLOOKUP($I57,Veg_Parameters!$A$3:$N$65,11,FALSE)),0,(VLOOKUP($I57,Veg_Parameters!$A$3:$N$65,11,FALSE))))</f>
        <v>0</v>
      </c>
      <c r="Y57" s="524">
        <f>IF(ISBLANK(A57),0,IF(ISNA(VLOOKUP($I57,Veg_Parameters!$A$3:$N$65,12,FALSE)),0,(VLOOKUP($I57,Veg_Parameters!$A$3:$N$65,12,FALSE))))</f>
        <v>0</v>
      </c>
      <c r="Z57" s="525">
        <f t="shared" si="1"/>
        <v>0</v>
      </c>
      <c r="AA57" s="525">
        <f t="shared" si="67"/>
        <v>0</v>
      </c>
      <c r="AB57" s="525">
        <f t="shared" si="68"/>
        <v>0</v>
      </c>
      <c r="AC57" s="524">
        <f>IF(ISBLANK(N57),0,IF(ISNA(VLOOKUP($N57,Veg_Parameters!$A$3:$N$65,10,FALSE)),0,(VLOOKUP($N57,Veg_Parameters!$A$3:$N$65,10,FALSE))))</f>
        <v>0</v>
      </c>
      <c r="AD57" s="524">
        <f>IF(ISBLANK(N57),0,IF(ISNA(VLOOKUP($N57,Veg_Parameters!$A$3:$N$65,11,FALSE)),0,(VLOOKUP($N57,Veg_Parameters!$A$3:$N$65,11,FALSE))))</f>
        <v>0</v>
      </c>
      <c r="AE57" s="524">
        <f>IF(ISBLANK(N57), 0, IF(ISNA(VLOOKUP($N57,Veg_Parameters!$A$3:$N$65,12,FALSE)),0,(VLOOKUP($N57,Veg_Parameters!$A$3:$N$65,12,FALSE))))</f>
        <v>0</v>
      </c>
      <c r="AF57" s="523">
        <f t="shared" si="69"/>
        <v>0</v>
      </c>
      <c r="AG57" s="523">
        <f t="shared" si="70"/>
        <v>0</v>
      </c>
      <c r="AH57" s="523">
        <f t="shared" si="71"/>
        <v>0</v>
      </c>
      <c r="AI57" s="526"/>
      <c r="AJ57" s="527">
        <f>AB57*(IF(ISNA(VLOOKUP($I57,Veg_Parameters!$A$3:$N$65,5,FALSE)),0,(VLOOKUP($I57,Veg_Parameters!$A$3:$N$65,5,FALSE))))</f>
        <v>0</v>
      </c>
      <c r="AK57" s="527">
        <f>IF(ISNA(VLOOKUP($I57,Veg_Parameters!$A$3:$N$65,4,FALSE)),0,(VLOOKUP($I57,Veg_Parameters!$A$3:$N$65,4,FALSE)))</f>
        <v>0</v>
      </c>
      <c r="AL57" s="527">
        <f>AB57*(IF(ISNA(VLOOKUP($I57,Veg_Parameters!$A$3:$N$65,7,FALSE)),0, (VLOOKUP($I57,Veg_Parameters!$A$3:$N$65,7,FALSE))))</f>
        <v>0</v>
      </c>
      <c r="AM57" s="528">
        <f>IF(ISNA(VLOOKUP($I57,Veg_Parameters!$A$3:$N$65,6,FALSE)), 0, (VLOOKUP($I57,Veg_Parameters!$A$3:$N$65,6,FALSE)))</f>
        <v>0</v>
      </c>
      <c r="AN57" s="529">
        <f t="shared" si="72"/>
        <v>20</v>
      </c>
      <c r="AO57" s="529">
        <f t="shared" si="73"/>
        <v>0</v>
      </c>
      <c r="AP57" s="529">
        <f t="shared" si="74"/>
        <v>0</v>
      </c>
      <c r="AQ57" s="530">
        <f t="shared" si="90"/>
        <v>0</v>
      </c>
      <c r="AR57" s="527" t="s">
        <v>3</v>
      </c>
      <c r="AS57" s="527">
        <f>IF(ISNA(VLOOKUP($I57,Veg_Parameters!$A$3:$N$65,8,FALSE)), 0, (VLOOKUP($I57,Veg_Parameters!$A$3:$N$65,8,FALSE)))</f>
        <v>0</v>
      </c>
      <c r="AT57" s="527">
        <f>AB57*(IF(ISNA(VLOOKUP($I57,Veg_Parameters!$A$3:$N$65,9,FALSE)), 0, (VLOOKUP($I57,Veg_Parameters!$A$3:$N$65,9,FALSE))))</f>
        <v>0</v>
      </c>
      <c r="AU57" s="527">
        <f>IF(ISBLANK(A57),0,VLOOKUP($I57,Veg_Parameters!$A$4:$U$65,21,))</f>
        <v>0</v>
      </c>
      <c r="AV57" s="527">
        <f t="shared" si="91"/>
        <v>0</v>
      </c>
      <c r="AW57" s="529">
        <f t="shared" si="92"/>
        <v>0</v>
      </c>
      <c r="AX57" s="529">
        <f t="shared" si="93"/>
        <v>0</v>
      </c>
      <c r="AY57" s="529">
        <f t="shared" si="75"/>
        <v>0</v>
      </c>
      <c r="AZ57" s="529">
        <f t="shared" si="94"/>
        <v>0</v>
      </c>
      <c r="BA57" s="529">
        <f t="shared" si="95"/>
        <v>0</v>
      </c>
      <c r="BB57" s="529">
        <f t="shared" si="96"/>
        <v>0</v>
      </c>
      <c r="BC57" s="529">
        <f t="shared" si="76"/>
        <v>0</v>
      </c>
      <c r="BD57" s="531"/>
      <c r="BE57" s="527">
        <f>AH57*(IF(ISNA(VLOOKUP($N57,Veg_Parameters!$A$3:$N$65,5,FALSE)),0,(VLOOKUP($N57,Veg_Parameters!$A$3:$N$65,5,FALSE))))</f>
        <v>0</v>
      </c>
      <c r="BF57" s="527">
        <f>IF(ISNA(VLOOKUP($N57,Veg_Parameters!$A$3:$N$65,4,FALSE)),0,(VLOOKUP($N57,Veg_Parameters!$A$3:$N$65,4,FALSE)))</f>
        <v>0</v>
      </c>
      <c r="BG57" s="527">
        <f>AH57*(IF(ISNA(VLOOKUP($N57,Veg_Parameters!$A$3:$N$65,7,FALSE)),0, (VLOOKUP($N57,Veg_Parameters!$A$3:$N$65,7,FALSE))))</f>
        <v>0</v>
      </c>
      <c r="BH57" s="527">
        <f>IF(ISNA(VLOOKUP($N57,Veg_Parameters!$A$3:$N$65,6,FALSE)), 0, (VLOOKUP($N57,Veg_Parameters!$A$3:$N$65,6,FALSE)))</f>
        <v>0</v>
      </c>
      <c r="BI57" s="529">
        <f t="shared" si="77"/>
        <v>20</v>
      </c>
      <c r="BJ57" s="529">
        <f t="shared" si="97"/>
        <v>0</v>
      </c>
      <c r="BK57" s="529">
        <f t="shared" si="78"/>
        <v>0</v>
      </c>
      <c r="BL57" s="530">
        <f t="shared" si="98"/>
        <v>0</v>
      </c>
      <c r="BM57" s="527" t="s">
        <v>3</v>
      </c>
      <c r="BN57" s="527">
        <f>IF(ISNA(VLOOKUP(N57,Veg_Parameters!$A$3:$N$65,8,FALSE)), 0, (VLOOKUP($N57,Veg_Parameters!$A$3:$N$65,8,FALSE)))</f>
        <v>0</v>
      </c>
      <c r="BO57" s="527">
        <f>AH57*(IF(ISNA(VLOOKUP($N57,Veg_Parameters!$A$3:$N$65,9,FALSE)), 0, (VLOOKUP($N57,Veg_Parameters!$A$3:$N$65,9,FALSE))))</f>
        <v>0</v>
      </c>
      <c r="BP57" s="527" t="str">
        <f>IF(ISBLANK(N57),"0",VLOOKUP($N57,Veg_Parameters!$A$4:$U$65,21,))</f>
        <v>0</v>
      </c>
      <c r="BQ57" s="529">
        <f t="shared" si="99"/>
        <v>0</v>
      </c>
      <c r="BR57" s="529">
        <f t="shared" si="100"/>
        <v>0</v>
      </c>
      <c r="BS57" s="529">
        <f t="shared" si="79"/>
        <v>0</v>
      </c>
      <c r="BT57" s="529">
        <f t="shared" si="101"/>
        <v>0</v>
      </c>
      <c r="BU57" s="529">
        <f t="shared" si="102"/>
        <v>0</v>
      </c>
      <c r="BV57" s="529">
        <f t="shared" si="103"/>
        <v>0</v>
      </c>
      <c r="BW57" s="532" t="str">
        <f t="shared" si="80"/>
        <v/>
      </c>
      <c r="BX57" s="532" t="str">
        <f t="shared" si="81"/>
        <v/>
      </c>
      <c r="BY57" s="532" t="str">
        <f t="shared" si="82"/>
        <v/>
      </c>
      <c r="BZ57" s="532" t="str">
        <f t="shared" si="83"/>
        <v/>
      </c>
      <c r="CA57" s="532">
        <f t="shared" si="84"/>
        <v>0</v>
      </c>
      <c r="CB57" s="533"/>
      <c r="CC57" s="624">
        <f t="shared" si="85"/>
        <v>0</v>
      </c>
      <c r="CD57" s="534">
        <f t="shared" si="86"/>
        <v>0</v>
      </c>
      <c r="CE57" s="534">
        <f t="shared" si="87"/>
        <v>0</v>
      </c>
      <c r="CF57" s="534">
        <f t="shared" si="88"/>
        <v>0</v>
      </c>
      <c r="CG57" s="534"/>
      <c r="CH57" s="534"/>
      <c r="CI57" s="534">
        <f t="shared" si="104"/>
        <v>0</v>
      </c>
      <c r="CL57" s="534">
        <f>IF(ISNA(VLOOKUP(I57,Veg_Parameters!$A$3:$N$65,13,FALSE)),0,(VLOOKUP(I57,Veg_Parameters!$A$3:$N$65,13,FALSE)))</f>
        <v>0</v>
      </c>
      <c r="CM57" s="534">
        <f t="shared" si="105"/>
        <v>0</v>
      </c>
      <c r="CN57" s="534">
        <f>IF(ISNA(VLOOKUP(N57,Veg_Parameters!$A$3:$N$65,13,FALSE)),0,(VLOOKUP(N57,Veg_Parameters!$A$3:$N$65,13,FALSE)))</f>
        <v>0</v>
      </c>
      <c r="CO57" s="523">
        <f t="shared" si="106"/>
        <v>0</v>
      </c>
    </row>
    <row r="58" spans="1:93" x14ac:dyDescent="0.2">
      <c r="A58" s="227"/>
      <c r="B58" s="171" t="str">
        <f t="shared" si="107"/>
        <v/>
      </c>
      <c r="C58" s="230"/>
      <c r="D58" s="169"/>
      <c r="E58" s="165"/>
      <c r="F58" s="165"/>
      <c r="G58" s="165"/>
      <c r="H58" s="165"/>
      <c r="I58" s="168"/>
      <c r="J58" s="167"/>
      <c r="K58" s="168"/>
      <c r="L58" s="167"/>
      <c r="M58" s="167"/>
      <c r="N58" s="168"/>
      <c r="O58" s="168"/>
      <c r="P58" s="167"/>
      <c r="Q58" s="167"/>
      <c r="R58" s="167"/>
      <c r="S58" s="222" t="str">
        <f>IF(ISBLANK(A58),"",IF(ISNA(VLOOKUP(I58,Veg_Parameters!$A$3:$N$65,3,FALSE)),0,(VLOOKUP(I58,Veg_Parameters!$A$3:$N$65,3,FALSE))))</f>
        <v/>
      </c>
      <c r="T58" s="222" t="str">
        <f>IF(ISBLANK(N58),"",IF(ISNA(VLOOKUP(N58,Veg_Parameters!$A$3:$N$65,3,FALSE)),0,(VLOOKUP(N58,Veg_Parameters!$A$3:$N$65,3,FALSE))))</f>
        <v/>
      </c>
      <c r="U58" s="523">
        <f t="shared" si="89"/>
        <v>0</v>
      </c>
      <c r="V58" s="523">
        <f t="shared" si="66"/>
        <v>0</v>
      </c>
      <c r="W58" s="524">
        <f>IF(ISBLANK(A58),0,IF(ISNA(VLOOKUP($I58,Veg_Parameters!$A$3:$N$65,10,FALSE)),0,(VLOOKUP($I58,Veg_Parameters!$A$3:$N$65,10,FALSE))))</f>
        <v>0</v>
      </c>
      <c r="X58" s="524">
        <f>IF(ISBLANK(A58),0,IF(ISNA(VLOOKUP($I58,Veg_Parameters!$A$3:$N$65,11,FALSE)),0,(VLOOKUP($I58,Veg_Parameters!$A$3:$N$65,11,FALSE))))</f>
        <v>0</v>
      </c>
      <c r="Y58" s="524">
        <f>IF(ISBLANK(A58),0,IF(ISNA(VLOOKUP($I58,Veg_Parameters!$A$3:$N$65,12,FALSE)),0,(VLOOKUP($I58,Veg_Parameters!$A$3:$N$65,12,FALSE))))</f>
        <v>0</v>
      </c>
      <c r="Z58" s="525">
        <f t="shared" si="1"/>
        <v>0</v>
      </c>
      <c r="AA58" s="525">
        <f t="shared" si="67"/>
        <v>0</v>
      </c>
      <c r="AB58" s="525">
        <f t="shared" si="68"/>
        <v>0</v>
      </c>
      <c r="AC58" s="524">
        <f>IF(ISBLANK(N58),0,IF(ISNA(VLOOKUP($N58,Veg_Parameters!$A$3:$N$65,10,FALSE)),0,(VLOOKUP($N58,Veg_Parameters!$A$3:$N$65,10,FALSE))))</f>
        <v>0</v>
      </c>
      <c r="AD58" s="524">
        <f>IF(ISBLANK(N58),0,IF(ISNA(VLOOKUP($N58,Veg_Parameters!$A$3:$N$65,11,FALSE)),0,(VLOOKUP($N58,Veg_Parameters!$A$3:$N$65,11,FALSE))))</f>
        <v>0</v>
      </c>
      <c r="AE58" s="524">
        <f>IF(ISBLANK(N58), 0, IF(ISNA(VLOOKUP($N58,Veg_Parameters!$A$3:$N$65,12,FALSE)),0,(VLOOKUP($N58,Veg_Parameters!$A$3:$N$65,12,FALSE))))</f>
        <v>0</v>
      </c>
      <c r="AF58" s="523">
        <f t="shared" si="69"/>
        <v>0</v>
      </c>
      <c r="AG58" s="523">
        <f t="shared" si="70"/>
        <v>0</v>
      </c>
      <c r="AH58" s="523">
        <f t="shared" si="71"/>
        <v>0</v>
      </c>
      <c r="AI58" s="526"/>
      <c r="AJ58" s="527">
        <f>AB58*(IF(ISNA(VLOOKUP($I58,Veg_Parameters!$A$3:$N$65,5,FALSE)),0,(VLOOKUP($I58,Veg_Parameters!$A$3:$N$65,5,FALSE))))</f>
        <v>0</v>
      </c>
      <c r="AK58" s="527">
        <f>IF(ISNA(VLOOKUP($I58,Veg_Parameters!$A$3:$N$65,4,FALSE)),0,(VLOOKUP($I58,Veg_Parameters!$A$3:$N$65,4,FALSE)))</f>
        <v>0</v>
      </c>
      <c r="AL58" s="527">
        <f>AB58*(IF(ISNA(VLOOKUP($I58,Veg_Parameters!$A$3:$N$65,7,FALSE)),0, (VLOOKUP($I58,Veg_Parameters!$A$3:$N$65,7,FALSE))))</f>
        <v>0</v>
      </c>
      <c r="AM58" s="528">
        <f>IF(ISNA(VLOOKUP($I58,Veg_Parameters!$A$3:$N$65,6,FALSE)), 0, (VLOOKUP($I58,Veg_Parameters!$A$3:$N$65,6,FALSE)))</f>
        <v>0</v>
      </c>
      <c r="AN58" s="529">
        <f t="shared" si="72"/>
        <v>20</v>
      </c>
      <c r="AO58" s="529">
        <f t="shared" si="73"/>
        <v>0</v>
      </c>
      <c r="AP58" s="529">
        <f t="shared" si="74"/>
        <v>0</v>
      </c>
      <c r="AQ58" s="530">
        <f t="shared" si="90"/>
        <v>0</v>
      </c>
      <c r="AR58" s="527" t="s">
        <v>3</v>
      </c>
      <c r="AS58" s="527">
        <f>IF(ISNA(VLOOKUP($I58,Veg_Parameters!$A$3:$N$65,8,FALSE)), 0, (VLOOKUP($I58,Veg_Parameters!$A$3:$N$65,8,FALSE)))</f>
        <v>0</v>
      </c>
      <c r="AT58" s="527">
        <f>AB58*(IF(ISNA(VLOOKUP($I58,Veg_Parameters!$A$3:$N$65,9,FALSE)), 0, (VLOOKUP($I58,Veg_Parameters!$A$3:$N$65,9,FALSE))))</f>
        <v>0</v>
      </c>
      <c r="AU58" s="527">
        <f>IF(ISBLANK(A58),0,VLOOKUP($I58,Veg_Parameters!$A$4:$U$65,21,))</f>
        <v>0</v>
      </c>
      <c r="AV58" s="527">
        <f t="shared" si="91"/>
        <v>0</v>
      </c>
      <c r="AW58" s="529">
        <f t="shared" si="92"/>
        <v>0</v>
      </c>
      <c r="AX58" s="529">
        <f t="shared" si="93"/>
        <v>0</v>
      </c>
      <c r="AY58" s="529">
        <f t="shared" si="75"/>
        <v>0</v>
      </c>
      <c r="AZ58" s="529">
        <f t="shared" si="94"/>
        <v>0</v>
      </c>
      <c r="BA58" s="529">
        <f t="shared" si="95"/>
        <v>0</v>
      </c>
      <c r="BB58" s="529">
        <f t="shared" si="96"/>
        <v>0</v>
      </c>
      <c r="BC58" s="529">
        <f t="shared" si="76"/>
        <v>0</v>
      </c>
      <c r="BD58" s="531"/>
      <c r="BE58" s="527">
        <f>AH58*(IF(ISNA(VLOOKUP($N58,Veg_Parameters!$A$3:$N$65,5,FALSE)),0,(VLOOKUP($N58,Veg_Parameters!$A$3:$N$65,5,FALSE))))</f>
        <v>0</v>
      </c>
      <c r="BF58" s="527">
        <f>IF(ISNA(VLOOKUP($N58,Veg_Parameters!$A$3:$N$65,4,FALSE)),0,(VLOOKUP($N58,Veg_Parameters!$A$3:$N$65,4,FALSE)))</f>
        <v>0</v>
      </c>
      <c r="BG58" s="527">
        <f>AH58*(IF(ISNA(VLOOKUP($N58,Veg_Parameters!$A$3:$N$65,7,FALSE)),0, (VLOOKUP($N58,Veg_Parameters!$A$3:$N$65,7,FALSE))))</f>
        <v>0</v>
      </c>
      <c r="BH58" s="527">
        <f>IF(ISNA(VLOOKUP($N58,Veg_Parameters!$A$3:$N$65,6,FALSE)), 0, (VLOOKUP($N58,Veg_Parameters!$A$3:$N$65,6,FALSE)))</f>
        <v>0</v>
      </c>
      <c r="BI58" s="529">
        <f t="shared" si="77"/>
        <v>20</v>
      </c>
      <c r="BJ58" s="529">
        <f t="shared" si="97"/>
        <v>0</v>
      </c>
      <c r="BK58" s="529">
        <f t="shared" si="78"/>
        <v>0</v>
      </c>
      <c r="BL58" s="530">
        <f t="shared" si="98"/>
        <v>0</v>
      </c>
      <c r="BM58" s="527" t="s">
        <v>3</v>
      </c>
      <c r="BN58" s="527">
        <f>IF(ISNA(VLOOKUP(N58,Veg_Parameters!$A$3:$N$65,8,FALSE)), 0, (VLOOKUP($N58,Veg_Parameters!$A$3:$N$65,8,FALSE)))</f>
        <v>0</v>
      </c>
      <c r="BO58" s="527">
        <f>AH58*(IF(ISNA(VLOOKUP($N58,Veg_Parameters!$A$3:$N$65,9,FALSE)), 0, (VLOOKUP($N58,Veg_Parameters!$A$3:$N$65,9,FALSE))))</f>
        <v>0</v>
      </c>
      <c r="BP58" s="527" t="str">
        <f>IF(ISBLANK(N58),"0",VLOOKUP($N58,Veg_Parameters!$A$4:$U$65,21,))</f>
        <v>0</v>
      </c>
      <c r="BQ58" s="529">
        <f t="shared" si="99"/>
        <v>0</v>
      </c>
      <c r="BR58" s="529">
        <f t="shared" si="100"/>
        <v>0</v>
      </c>
      <c r="BS58" s="529">
        <f t="shared" si="79"/>
        <v>0</v>
      </c>
      <c r="BT58" s="529">
        <f t="shared" si="101"/>
        <v>0</v>
      </c>
      <c r="BU58" s="529">
        <f t="shared" si="102"/>
        <v>0</v>
      </c>
      <c r="BV58" s="529">
        <f t="shared" si="103"/>
        <v>0</v>
      </c>
      <c r="BW58" s="532" t="str">
        <f t="shared" si="80"/>
        <v/>
      </c>
      <c r="BX58" s="532" t="str">
        <f t="shared" si="81"/>
        <v/>
      </c>
      <c r="BY58" s="532" t="str">
        <f t="shared" si="82"/>
        <v/>
      </c>
      <c r="BZ58" s="532" t="str">
        <f t="shared" si="83"/>
        <v/>
      </c>
      <c r="CA58" s="532">
        <f t="shared" si="84"/>
        <v>0</v>
      </c>
      <c r="CB58" s="533"/>
      <c r="CC58" s="624">
        <f t="shared" si="85"/>
        <v>0</v>
      </c>
      <c r="CD58" s="534">
        <f t="shared" si="86"/>
        <v>0</v>
      </c>
      <c r="CE58" s="534">
        <f t="shared" si="87"/>
        <v>0</v>
      </c>
      <c r="CF58" s="534">
        <f t="shared" si="88"/>
        <v>0</v>
      </c>
      <c r="CG58" s="534"/>
      <c r="CH58" s="534"/>
      <c r="CI58" s="534">
        <f t="shared" si="104"/>
        <v>0</v>
      </c>
      <c r="CL58" s="534">
        <f>IF(ISNA(VLOOKUP(I58,Veg_Parameters!$A$3:$N$65,13,FALSE)),0,(VLOOKUP(I58,Veg_Parameters!$A$3:$N$65,13,FALSE)))</f>
        <v>0</v>
      </c>
      <c r="CM58" s="534">
        <f t="shared" si="105"/>
        <v>0</v>
      </c>
      <c r="CN58" s="534">
        <f>IF(ISNA(VLOOKUP(N58,Veg_Parameters!$A$3:$N$65,13,FALSE)),0,(VLOOKUP(N58,Veg_Parameters!$A$3:$N$65,13,FALSE)))</f>
        <v>0</v>
      </c>
      <c r="CO58" s="523">
        <f t="shared" si="106"/>
        <v>0</v>
      </c>
    </row>
    <row r="59" spans="1:93" x14ac:dyDescent="0.2">
      <c r="A59" s="227"/>
      <c r="B59" s="171" t="str">
        <f t="shared" si="107"/>
        <v/>
      </c>
      <c r="C59" s="230"/>
      <c r="D59" s="169"/>
      <c r="E59" s="165"/>
      <c r="F59" s="165"/>
      <c r="G59" s="165"/>
      <c r="H59" s="165"/>
      <c r="I59" s="168"/>
      <c r="J59" s="167"/>
      <c r="K59" s="168"/>
      <c r="L59" s="167"/>
      <c r="M59" s="167"/>
      <c r="N59" s="168"/>
      <c r="O59" s="168"/>
      <c r="P59" s="167"/>
      <c r="Q59" s="167"/>
      <c r="R59" s="167"/>
      <c r="S59" s="222" t="str">
        <f>IF(ISBLANK(A59),"",IF(ISNA(VLOOKUP(I59,Veg_Parameters!$A$3:$N$65,3,FALSE)),0,(VLOOKUP(I59,Veg_Parameters!$A$3:$N$65,3,FALSE))))</f>
        <v/>
      </c>
      <c r="T59" s="222" t="str">
        <f>IF(ISBLANK(N59),"",IF(ISNA(VLOOKUP(N59,Veg_Parameters!$A$3:$N$65,3,FALSE)),0,(VLOOKUP(N59,Veg_Parameters!$A$3:$N$65,3,FALSE))))</f>
        <v/>
      </c>
      <c r="U59" s="523">
        <f t="shared" si="89"/>
        <v>0</v>
      </c>
      <c r="V59" s="523">
        <f t="shared" si="66"/>
        <v>0</v>
      </c>
      <c r="W59" s="524">
        <f>IF(ISBLANK(A59),0,IF(ISNA(VLOOKUP($I59,Veg_Parameters!$A$3:$N$65,10,FALSE)),0,(VLOOKUP($I59,Veg_Parameters!$A$3:$N$65,10,FALSE))))</f>
        <v>0</v>
      </c>
      <c r="X59" s="524">
        <f>IF(ISBLANK(A59),0,IF(ISNA(VLOOKUP($I59,Veg_Parameters!$A$3:$N$65,11,FALSE)),0,(VLOOKUP($I59,Veg_Parameters!$A$3:$N$65,11,FALSE))))</f>
        <v>0</v>
      </c>
      <c r="Y59" s="524">
        <f>IF(ISBLANK(A59),0,IF(ISNA(VLOOKUP($I59,Veg_Parameters!$A$3:$N$65,12,FALSE)),0,(VLOOKUP($I59,Veg_Parameters!$A$3:$N$65,12,FALSE))))</f>
        <v>0</v>
      </c>
      <c r="Z59" s="525">
        <f t="shared" si="1"/>
        <v>0</v>
      </c>
      <c r="AA59" s="525">
        <f t="shared" si="67"/>
        <v>0</v>
      </c>
      <c r="AB59" s="525">
        <f t="shared" si="68"/>
        <v>0</v>
      </c>
      <c r="AC59" s="524">
        <f>IF(ISBLANK(N59),0,IF(ISNA(VLOOKUP($N59,Veg_Parameters!$A$3:$N$65,10,FALSE)),0,(VLOOKUP($N59,Veg_Parameters!$A$3:$N$65,10,FALSE))))</f>
        <v>0</v>
      </c>
      <c r="AD59" s="524">
        <f>IF(ISBLANK(N59),0,IF(ISNA(VLOOKUP($N59,Veg_Parameters!$A$3:$N$65,11,FALSE)),0,(VLOOKUP($N59,Veg_Parameters!$A$3:$N$65,11,FALSE))))</f>
        <v>0</v>
      </c>
      <c r="AE59" s="524">
        <f>IF(ISBLANK(N59), 0, IF(ISNA(VLOOKUP($N59,Veg_Parameters!$A$3:$N$65,12,FALSE)),0,(VLOOKUP($N59,Veg_Parameters!$A$3:$N$65,12,FALSE))))</f>
        <v>0</v>
      </c>
      <c r="AF59" s="523">
        <f t="shared" si="69"/>
        <v>0</v>
      </c>
      <c r="AG59" s="523">
        <f t="shared" si="70"/>
        <v>0</v>
      </c>
      <c r="AH59" s="523">
        <f t="shared" si="71"/>
        <v>0</v>
      </c>
      <c r="AI59" s="526"/>
      <c r="AJ59" s="527">
        <f>AB59*(IF(ISNA(VLOOKUP($I59,Veg_Parameters!$A$3:$N$65,5,FALSE)),0,(VLOOKUP($I59,Veg_Parameters!$A$3:$N$65,5,FALSE))))</f>
        <v>0</v>
      </c>
      <c r="AK59" s="527">
        <f>IF(ISNA(VLOOKUP($I59,Veg_Parameters!$A$3:$N$65,4,FALSE)),0,(VLOOKUP($I59,Veg_Parameters!$A$3:$N$65,4,FALSE)))</f>
        <v>0</v>
      </c>
      <c r="AL59" s="527">
        <f>AB59*(IF(ISNA(VLOOKUP($I59,Veg_Parameters!$A$3:$N$65,7,FALSE)),0, (VLOOKUP($I59,Veg_Parameters!$A$3:$N$65,7,FALSE))))</f>
        <v>0</v>
      </c>
      <c r="AM59" s="528">
        <f>IF(ISNA(VLOOKUP($I59,Veg_Parameters!$A$3:$N$65,6,FALSE)), 0, (VLOOKUP($I59,Veg_Parameters!$A$3:$N$65,6,FALSE)))</f>
        <v>0</v>
      </c>
      <c r="AN59" s="529">
        <f t="shared" si="72"/>
        <v>20</v>
      </c>
      <c r="AO59" s="529">
        <f t="shared" si="73"/>
        <v>0</v>
      </c>
      <c r="AP59" s="529">
        <f t="shared" si="74"/>
        <v>0</v>
      </c>
      <c r="AQ59" s="530">
        <f t="shared" si="90"/>
        <v>0</v>
      </c>
      <c r="AR59" s="527" t="s">
        <v>3</v>
      </c>
      <c r="AS59" s="527">
        <f>IF(ISNA(VLOOKUP($I59,Veg_Parameters!$A$3:$N$65,8,FALSE)), 0, (VLOOKUP($I59,Veg_Parameters!$A$3:$N$65,8,FALSE)))</f>
        <v>0</v>
      </c>
      <c r="AT59" s="527">
        <f>AB59*(IF(ISNA(VLOOKUP($I59,Veg_Parameters!$A$3:$N$65,9,FALSE)), 0, (VLOOKUP($I59,Veg_Parameters!$A$3:$N$65,9,FALSE))))</f>
        <v>0</v>
      </c>
      <c r="AU59" s="527">
        <f>IF(ISBLANK(A59),0,VLOOKUP($I59,Veg_Parameters!$A$4:$U$65,21,))</f>
        <v>0</v>
      </c>
      <c r="AV59" s="527">
        <f t="shared" si="91"/>
        <v>0</v>
      </c>
      <c r="AW59" s="529">
        <f t="shared" si="92"/>
        <v>0</v>
      </c>
      <c r="AX59" s="529">
        <f t="shared" si="93"/>
        <v>0</v>
      </c>
      <c r="AY59" s="529">
        <f t="shared" si="75"/>
        <v>0</v>
      </c>
      <c r="AZ59" s="529">
        <f t="shared" si="94"/>
        <v>0</v>
      </c>
      <c r="BA59" s="529">
        <f t="shared" si="95"/>
        <v>0</v>
      </c>
      <c r="BB59" s="529">
        <f t="shared" si="96"/>
        <v>0</v>
      </c>
      <c r="BC59" s="529">
        <f t="shared" si="76"/>
        <v>0</v>
      </c>
      <c r="BD59" s="531"/>
      <c r="BE59" s="527">
        <f>AH59*(IF(ISNA(VLOOKUP($N59,Veg_Parameters!$A$3:$N$65,5,FALSE)),0,(VLOOKUP($N59,Veg_Parameters!$A$3:$N$65,5,FALSE))))</f>
        <v>0</v>
      </c>
      <c r="BF59" s="527">
        <f>IF(ISNA(VLOOKUP($N59,Veg_Parameters!$A$3:$N$65,4,FALSE)),0,(VLOOKUP($N59,Veg_Parameters!$A$3:$N$65,4,FALSE)))</f>
        <v>0</v>
      </c>
      <c r="BG59" s="527">
        <f>AH59*(IF(ISNA(VLOOKUP($N59,Veg_Parameters!$A$3:$N$65,7,FALSE)),0, (VLOOKUP($N59,Veg_Parameters!$A$3:$N$65,7,FALSE))))</f>
        <v>0</v>
      </c>
      <c r="BH59" s="527">
        <f>IF(ISNA(VLOOKUP($N59,Veg_Parameters!$A$3:$N$65,6,FALSE)), 0, (VLOOKUP($N59,Veg_Parameters!$A$3:$N$65,6,FALSE)))</f>
        <v>0</v>
      </c>
      <c r="BI59" s="529">
        <f t="shared" si="77"/>
        <v>20</v>
      </c>
      <c r="BJ59" s="529">
        <f t="shared" si="97"/>
        <v>0</v>
      </c>
      <c r="BK59" s="529">
        <f t="shared" si="78"/>
        <v>0</v>
      </c>
      <c r="BL59" s="530">
        <f t="shared" si="98"/>
        <v>0</v>
      </c>
      <c r="BM59" s="527" t="s">
        <v>3</v>
      </c>
      <c r="BN59" s="527">
        <f>IF(ISNA(VLOOKUP(N59,Veg_Parameters!$A$3:$N$65,8,FALSE)), 0, (VLOOKUP($N59,Veg_Parameters!$A$3:$N$65,8,FALSE)))</f>
        <v>0</v>
      </c>
      <c r="BO59" s="527">
        <f>AH59*(IF(ISNA(VLOOKUP($N59,Veg_Parameters!$A$3:$N$65,9,FALSE)), 0, (VLOOKUP($N59,Veg_Parameters!$A$3:$N$65,9,FALSE))))</f>
        <v>0</v>
      </c>
      <c r="BP59" s="527" t="str">
        <f>IF(ISBLANK(N59),"0",VLOOKUP($N59,Veg_Parameters!$A$4:$U$65,21,))</f>
        <v>0</v>
      </c>
      <c r="BQ59" s="529">
        <f t="shared" si="99"/>
        <v>0</v>
      </c>
      <c r="BR59" s="529">
        <f t="shared" si="100"/>
        <v>0</v>
      </c>
      <c r="BS59" s="529">
        <f t="shared" si="79"/>
        <v>0</v>
      </c>
      <c r="BT59" s="529">
        <f t="shared" si="101"/>
        <v>0</v>
      </c>
      <c r="BU59" s="529">
        <f t="shared" si="102"/>
        <v>0</v>
      </c>
      <c r="BV59" s="529">
        <f t="shared" si="103"/>
        <v>0</v>
      </c>
      <c r="BW59" s="532" t="str">
        <f t="shared" si="80"/>
        <v/>
      </c>
      <c r="BX59" s="532" t="str">
        <f t="shared" si="81"/>
        <v/>
      </c>
      <c r="BY59" s="532" t="str">
        <f t="shared" si="82"/>
        <v/>
      </c>
      <c r="BZ59" s="532" t="str">
        <f t="shared" si="83"/>
        <v/>
      </c>
      <c r="CA59" s="532">
        <f t="shared" si="84"/>
        <v>0</v>
      </c>
      <c r="CB59" s="533"/>
      <c r="CC59" s="624">
        <f t="shared" si="85"/>
        <v>0</v>
      </c>
      <c r="CD59" s="534">
        <f t="shared" si="86"/>
        <v>0</v>
      </c>
      <c r="CE59" s="534">
        <f t="shared" si="87"/>
        <v>0</v>
      </c>
      <c r="CF59" s="534">
        <f t="shared" si="88"/>
        <v>0</v>
      </c>
      <c r="CG59" s="534"/>
      <c r="CH59" s="534"/>
      <c r="CI59" s="534">
        <f t="shared" si="104"/>
        <v>0</v>
      </c>
      <c r="CL59" s="534">
        <f>IF(ISNA(VLOOKUP(I59,Veg_Parameters!$A$3:$N$65,13,FALSE)),0,(VLOOKUP(I59,Veg_Parameters!$A$3:$N$65,13,FALSE)))</f>
        <v>0</v>
      </c>
      <c r="CM59" s="534">
        <f t="shared" si="105"/>
        <v>0</v>
      </c>
      <c r="CN59" s="534">
        <f>IF(ISNA(VLOOKUP(N59,Veg_Parameters!$A$3:$N$65,13,FALSE)),0,(VLOOKUP(N59,Veg_Parameters!$A$3:$N$65,13,FALSE)))</f>
        <v>0</v>
      </c>
      <c r="CO59" s="523">
        <f t="shared" si="106"/>
        <v>0</v>
      </c>
    </row>
    <row r="60" spans="1:93" x14ac:dyDescent="0.2">
      <c r="A60" s="227"/>
      <c r="B60" s="171" t="str">
        <f t="shared" si="107"/>
        <v/>
      </c>
      <c r="C60" s="230"/>
      <c r="D60" s="169"/>
      <c r="E60" s="165"/>
      <c r="F60" s="165"/>
      <c r="G60" s="165"/>
      <c r="H60" s="165"/>
      <c r="I60" s="168"/>
      <c r="J60" s="167"/>
      <c r="K60" s="168"/>
      <c r="L60" s="167"/>
      <c r="M60" s="167"/>
      <c r="N60" s="168"/>
      <c r="O60" s="168"/>
      <c r="P60" s="167"/>
      <c r="Q60" s="167"/>
      <c r="R60" s="167"/>
      <c r="S60" s="222" t="str">
        <f>IF(ISBLANK(A60),"",IF(ISNA(VLOOKUP(I60,Veg_Parameters!$A$3:$N$65,3,FALSE)),0,(VLOOKUP(I60,Veg_Parameters!$A$3:$N$65,3,FALSE))))</f>
        <v/>
      </c>
      <c r="T60" s="222" t="str">
        <f>IF(ISBLANK(N60),"",IF(ISNA(VLOOKUP(N60,Veg_Parameters!$A$3:$N$65,3,FALSE)),0,(VLOOKUP(N60,Veg_Parameters!$A$3:$N$65,3,FALSE))))</f>
        <v/>
      </c>
      <c r="U60" s="523">
        <f t="shared" si="89"/>
        <v>0</v>
      </c>
      <c r="V60" s="523">
        <f t="shared" si="66"/>
        <v>0</v>
      </c>
      <c r="W60" s="524">
        <f>IF(ISBLANK(A60),0,IF(ISNA(VLOOKUP($I60,Veg_Parameters!$A$3:$N$65,10,FALSE)),0,(VLOOKUP($I60,Veg_Parameters!$A$3:$N$65,10,FALSE))))</f>
        <v>0</v>
      </c>
      <c r="X60" s="524">
        <f>IF(ISBLANK(A60),0,IF(ISNA(VLOOKUP($I60,Veg_Parameters!$A$3:$N$65,11,FALSE)),0,(VLOOKUP($I60,Veg_Parameters!$A$3:$N$65,11,FALSE))))</f>
        <v>0</v>
      </c>
      <c r="Y60" s="524">
        <f>IF(ISBLANK(A60),0,IF(ISNA(VLOOKUP($I60,Veg_Parameters!$A$3:$N$65,12,FALSE)),0,(VLOOKUP($I60,Veg_Parameters!$A$3:$N$65,12,FALSE))))</f>
        <v>0</v>
      </c>
      <c r="Z60" s="525">
        <f t="shared" si="1"/>
        <v>0</v>
      </c>
      <c r="AA60" s="525">
        <f t="shared" si="67"/>
        <v>0</v>
      </c>
      <c r="AB60" s="525">
        <f t="shared" si="68"/>
        <v>0</v>
      </c>
      <c r="AC60" s="524">
        <f>IF(ISBLANK(N60),0,IF(ISNA(VLOOKUP($N60,Veg_Parameters!$A$3:$N$65,10,FALSE)),0,(VLOOKUP($N60,Veg_Parameters!$A$3:$N$65,10,FALSE))))</f>
        <v>0</v>
      </c>
      <c r="AD60" s="524">
        <f>IF(ISBLANK(N60),0,IF(ISNA(VLOOKUP($N60,Veg_Parameters!$A$3:$N$65,11,FALSE)),0,(VLOOKUP($N60,Veg_Parameters!$A$3:$N$65,11,FALSE))))</f>
        <v>0</v>
      </c>
      <c r="AE60" s="524">
        <f>IF(ISBLANK(N60), 0, IF(ISNA(VLOOKUP($N60,Veg_Parameters!$A$3:$N$65,12,FALSE)),0,(VLOOKUP($N60,Veg_Parameters!$A$3:$N$65,12,FALSE))))</f>
        <v>0</v>
      </c>
      <c r="AF60" s="523">
        <f t="shared" si="69"/>
        <v>0</v>
      </c>
      <c r="AG60" s="523">
        <f t="shared" si="70"/>
        <v>0</v>
      </c>
      <c r="AH60" s="523">
        <f t="shared" si="71"/>
        <v>0</v>
      </c>
      <c r="AI60" s="526"/>
      <c r="AJ60" s="527">
        <f>AB60*(IF(ISNA(VLOOKUP($I60,Veg_Parameters!$A$3:$N$65,5,FALSE)),0,(VLOOKUP($I60,Veg_Parameters!$A$3:$N$65,5,FALSE))))</f>
        <v>0</v>
      </c>
      <c r="AK60" s="527">
        <f>IF(ISNA(VLOOKUP($I60,Veg_Parameters!$A$3:$N$65,4,FALSE)),0,(VLOOKUP($I60,Veg_Parameters!$A$3:$N$65,4,FALSE)))</f>
        <v>0</v>
      </c>
      <c r="AL60" s="527">
        <f>AB60*(IF(ISNA(VLOOKUP($I60,Veg_Parameters!$A$3:$N$65,7,FALSE)),0, (VLOOKUP($I60,Veg_Parameters!$A$3:$N$65,7,FALSE))))</f>
        <v>0</v>
      </c>
      <c r="AM60" s="528">
        <f>IF(ISNA(VLOOKUP($I60,Veg_Parameters!$A$3:$N$65,6,FALSE)), 0, (VLOOKUP($I60,Veg_Parameters!$A$3:$N$65,6,FALSE)))</f>
        <v>0</v>
      </c>
      <c r="AN60" s="529">
        <f t="shared" si="72"/>
        <v>20</v>
      </c>
      <c r="AO60" s="529">
        <f t="shared" si="73"/>
        <v>0</v>
      </c>
      <c r="AP60" s="529">
        <f t="shared" si="74"/>
        <v>0</v>
      </c>
      <c r="AQ60" s="530">
        <f t="shared" si="90"/>
        <v>0</v>
      </c>
      <c r="AR60" s="527" t="s">
        <v>3</v>
      </c>
      <c r="AS60" s="527">
        <f>IF(ISNA(VLOOKUP($I60,Veg_Parameters!$A$3:$N$65,8,FALSE)), 0, (VLOOKUP($I60,Veg_Parameters!$A$3:$N$65,8,FALSE)))</f>
        <v>0</v>
      </c>
      <c r="AT60" s="527">
        <f>AB60*(IF(ISNA(VLOOKUP($I60,Veg_Parameters!$A$3:$N$65,9,FALSE)), 0, (VLOOKUP($I60,Veg_Parameters!$A$3:$N$65,9,FALSE))))</f>
        <v>0</v>
      </c>
      <c r="AU60" s="527">
        <f>IF(ISBLANK(A60),0,VLOOKUP($I60,Veg_Parameters!$A$4:$U$65,21,))</f>
        <v>0</v>
      </c>
      <c r="AV60" s="527">
        <f t="shared" si="91"/>
        <v>0</v>
      </c>
      <c r="AW60" s="529">
        <f t="shared" si="92"/>
        <v>0</v>
      </c>
      <c r="AX60" s="529">
        <f t="shared" si="93"/>
        <v>0</v>
      </c>
      <c r="AY60" s="529">
        <f t="shared" si="75"/>
        <v>0</v>
      </c>
      <c r="AZ60" s="529">
        <f t="shared" si="94"/>
        <v>0</v>
      </c>
      <c r="BA60" s="529">
        <f t="shared" si="95"/>
        <v>0</v>
      </c>
      <c r="BB60" s="529">
        <f t="shared" si="96"/>
        <v>0</v>
      </c>
      <c r="BC60" s="529">
        <f t="shared" si="76"/>
        <v>0</v>
      </c>
      <c r="BD60" s="531"/>
      <c r="BE60" s="527">
        <f>AH60*(IF(ISNA(VLOOKUP($N60,Veg_Parameters!$A$3:$N$65,5,FALSE)),0,(VLOOKUP($N60,Veg_Parameters!$A$3:$N$65,5,FALSE))))</f>
        <v>0</v>
      </c>
      <c r="BF60" s="527">
        <f>IF(ISNA(VLOOKUP($N60,Veg_Parameters!$A$3:$N$65,4,FALSE)),0,(VLOOKUP($N60,Veg_Parameters!$A$3:$N$65,4,FALSE)))</f>
        <v>0</v>
      </c>
      <c r="BG60" s="527">
        <f>AH60*(IF(ISNA(VLOOKUP($N60,Veg_Parameters!$A$3:$N$65,7,FALSE)),0, (VLOOKUP($N60,Veg_Parameters!$A$3:$N$65,7,FALSE))))</f>
        <v>0</v>
      </c>
      <c r="BH60" s="527">
        <f>IF(ISNA(VLOOKUP($N60,Veg_Parameters!$A$3:$N$65,6,FALSE)), 0, (VLOOKUP($N60,Veg_Parameters!$A$3:$N$65,6,FALSE)))</f>
        <v>0</v>
      </c>
      <c r="BI60" s="529">
        <f t="shared" si="77"/>
        <v>20</v>
      </c>
      <c r="BJ60" s="529">
        <f t="shared" si="97"/>
        <v>0</v>
      </c>
      <c r="BK60" s="529">
        <f t="shared" si="78"/>
        <v>0</v>
      </c>
      <c r="BL60" s="530">
        <f t="shared" si="98"/>
        <v>0</v>
      </c>
      <c r="BM60" s="527" t="s">
        <v>3</v>
      </c>
      <c r="BN60" s="527">
        <f>IF(ISNA(VLOOKUP(N60,Veg_Parameters!$A$3:$N$65,8,FALSE)), 0, (VLOOKUP($N60,Veg_Parameters!$A$3:$N$65,8,FALSE)))</f>
        <v>0</v>
      </c>
      <c r="BO60" s="527">
        <f>AH60*(IF(ISNA(VLOOKUP($N60,Veg_Parameters!$A$3:$N$65,9,FALSE)), 0, (VLOOKUP($N60,Veg_Parameters!$A$3:$N$65,9,FALSE))))</f>
        <v>0</v>
      </c>
      <c r="BP60" s="527" t="str">
        <f>IF(ISBLANK(N60),"0",VLOOKUP($N60,Veg_Parameters!$A$4:$U$65,21,))</f>
        <v>0</v>
      </c>
      <c r="BQ60" s="529">
        <f t="shared" si="99"/>
        <v>0</v>
      </c>
      <c r="BR60" s="529">
        <f t="shared" si="100"/>
        <v>0</v>
      </c>
      <c r="BS60" s="529">
        <f t="shared" si="79"/>
        <v>0</v>
      </c>
      <c r="BT60" s="529">
        <f t="shared" si="101"/>
        <v>0</v>
      </c>
      <c r="BU60" s="529">
        <f t="shared" si="102"/>
        <v>0</v>
      </c>
      <c r="BV60" s="529">
        <f t="shared" si="103"/>
        <v>0</v>
      </c>
      <c r="BW60" s="532" t="str">
        <f t="shared" si="80"/>
        <v/>
      </c>
      <c r="BX60" s="532" t="str">
        <f t="shared" si="81"/>
        <v/>
      </c>
      <c r="BY60" s="532" t="str">
        <f t="shared" si="82"/>
        <v/>
      </c>
      <c r="BZ60" s="532" t="str">
        <f t="shared" si="83"/>
        <v/>
      </c>
      <c r="CA60" s="532">
        <f t="shared" si="84"/>
        <v>0</v>
      </c>
      <c r="CB60" s="533"/>
      <c r="CC60" s="624">
        <f t="shared" si="85"/>
        <v>0</v>
      </c>
      <c r="CD60" s="534">
        <f t="shared" si="86"/>
        <v>0</v>
      </c>
      <c r="CE60" s="534">
        <f t="shared" si="87"/>
        <v>0</v>
      </c>
      <c r="CF60" s="534">
        <f t="shared" si="88"/>
        <v>0</v>
      </c>
      <c r="CG60" s="534"/>
      <c r="CH60" s="534"/>
      <c r="CI60" s="534">
        <f t="shared" si="104"/>
        <v>0</v>
      </c>
      <c r="CL60" s="534">
        <f>IF(ISNA(VLOOKUP(I60,Veg_Parameters!$A$3:$N$65,13,FALSE)),0,(VLOOKUP(I60,Veg_Parameters!$A$3:$N$65,13,FALSE)))</f>
        <v>0</v>
      </c>
      <c r="CM60" s="534">
        <f t="shared" si="105"/>
        <v>0</v>
      </c>
      <c r="CN60" s="534">
        <f>IF(ISNA(VLOOKUP(N60,Veg_Parameters!$A$3:$N$65,13,FALSE)),0,(VLOOKUP(N60,Veg_Parameters!$A$3:$N$65,13,FALSE)))</f>
        <v>0</v>
      </c>
      <c r="CO60" s="523">
        <f t="shared" si="106"/>
        <v>0</v>
      </c>
    </row>
    <row r="61" spans="1:93" x14ac:dyDescent="0.2">
      <c r="A61" s="227"/>
      <c r="B61" s="171" t="str">
        <f t="shared" si="107"/>
        <v/>
      </c>
      <c r="C61" s="230"/>
      <c r="D61" s="169"/>
      <c r="E61" s="165"/>
      <c r="F61" s="165"/>
      <c r="G61" s="165"/>
      <c r="H61" s="165"/>
      <c r="I61" s="168"/>
      <c r="J61" s="167"/>
      <c r="K61" s="168"/>
      <c r="L61" s="167"/>
      <c r="M61" s="167"/>
      <c r="N61" s="168"/>
      <c r="O61" s="168"/>
      <c r="P61" s="167"/>
      <c r="Q61" s="167"/>
      <c r="R61" s="167"/>
      <c r="S61" s="222" t="str">
        <f>IF(ISBLANK(A61),"",IF(ISNA(VLOOKUP(I61,Veg_Parameters!$A$3:$N$65,3,FALSE)),0,(VLOOKUP(I61,Veg_Parameters!$A$3:$N$65,3,FALSE))))</f>
        <v/>
      </c>
      <c r="T61" s="222" t="str">
        <f>IF(ISBLANK(N61),"",IF(ISNA(VLOOKUP(N61,Veg_Parameters!$A$3:$N$65,3,FALSE)),0,(VLOOKUP(N61,Veg_Parameters!$A$3:$N$65,3,FALSE))))</f>
        <v/>
      </c>
      <c r="U61" s="523">
        <f t="shared" si="89"/>
        <v>0</v>
      </c>
      <c r="V61" s="523">
        <f t="shared" si="66"/>
        <v>0</v>
      </c>
      <c r="W61" s="524">
        <f>IF(ISBLANK(A61),0,IF(ISNA(VLOOKUP($I61,Veg_Parameters!$A$3:$N$65,10,FALSE)),0,(VLOOKUP($I61,Veg_Parameters!$A$3:$N$65,10,FALSE))))</f>
        <v>0</v>
      </c>
      <c r="X61" s="524">
        <f>IF(ISBLANK(A61),0,IF(ISNA(VLOOKUP($I61,Veg_Parameters!$A$3:$N$65,11,FALSE)),0,(VLOOKUP($I61,Veg_Parameters!$A$3:$N$65,11,FALSE))))</f>
        <v>0</v>
      </c>
      <c r="Y61" s="524">
        <f>IF(ISBLANK(A61),0,IF(ISNA(VLOOKUP($I61,Veg_Parameters!$A$3:$N$65,12,FALSE)),0,(VLOOKUP($I61,Veg_Parameters!$A$3:$N$65,12,FALSE))))</f>
        <v>0</v>
      </c>
      <c r="Z61" s="525">
        <f t="shared" si="1"/>
        <v>0</v>
      </c>
      <c r="AA61" s="525">
        <f t="shared" si="67"/>
        <v>0</v>
      </c>
      <c r="AB61" s="525">
        <f t="shared" si="68"/>
        <v>0</v>
      </c>
      <c r="AC61" s="524">
        <f>IF(ISBLANK(N61),0,IF(ISNA(VLOOKUP($N61,Veg_Parameters!$A$3:$N$65,10,FALSE)),0,(VLOOKUP($N61,Veg_Parameters!$A$3:$N$65,10,FALSE))))</f>
        <v>0</v>
      </c>
      <c r="AD61" s="524">
        <f>IF(ISBLANK(N61),0,IF(ISNA(VLOOKUP($N61,Veg_Parameters!$A$3:$N$65,11,FALSE)),0,(VLOOKUP($N61,Veg_Parameters!$A$3:$N$65,11,FALSE))))</f>
        <v>0</v>
      </c>
      <c r="AE61" s="524">
        <f>IF(ISBLANK(N61), 0, IF(ISNA(VLOOKUP($N61,Veg_Parameters!$A$3:$N$65,12,FALSE)),0,(VLOOKUP($N61,Veg_Parameters!$A$3:$N$65,12,FALSE))))</f>
        <v>0</v>
      </c>
      <c r="AF61" s="523">
        <f t="shared" si="69"/>
        <v>0</v>
      </c>
      <c r="AG61" s="523">
        <f t="shared" si="70"/>
        <v>0</v>
      </c>
      <c r="AH61" s="523">
        <f t="shared" si="71"/>
        <v>0</v>
      </c>
      <c r="AI61" s="526"/>
      <c r="AJ61" s="527">
        <f>AB61*(IF(ISNA(VLOOKUP($I61,Veg_Parameters!$A$3:$N$65,5,FALSE)),0,(VLOOKUP($I61,Veg_Parameters!$A$3:$N$65,5,FALSE))))</f>
        <v>0</v>
      </c>
      <c r="AK61" s="527">
        <f>IF(ISNA(VLOOKUP($I61,Veg_Parameters!$A$3:$N$65,4,FALSE)),0,(VLOOKUP($I61,Veg_Parameters!$A$3:$N$65,4,FALSE)))</f>
        <v>0</v>
      </c>
      <c r="AL61" s="527">
        <f>AB61*(IF(ISNA(VLOOKUP($I61,Veg_Parameters!$A$3:$N$65,7,FALSE)),0, (VLOOKUP($I61,Veg_Parameters!$A$3:$N$65,7,FALSE))))</f>
        <v>0</v>
      </c>
      <c r="AM61" s="528">
        <f>IF(ISNA(VLOOKUP($I61,Veg_Parameters!$A$3:$N$65,6,FALSE)), 0, (VLOOKUP($I61,Veg_Parameters!$A$3:$N$65,6,FALSE)))</f>
        <v>0</v>
      </c>
      <c r="AN61" s="529">
        <f t="shared" si="72"/>
        <v>20</v>
      </c>
      <c r="AO61" s="529">
        <f t="shared" si="73"/>
        <v>0</v>
      </c>
      <c r="AP61" s="529">
        <f t="shared" si="74"/>
        <v>0</v>
      </c>
      <c r="AQ61" s="530">
        <f t="shared" si="90"/>
        <v>0</v>
      </c>
      <c r="AR61" s="527" t="s">
        <v>3</v>
      </c>
      <c r="AS61" s="527">
        <f>IF(ISNA(VLOOKUP($I61,Veg_Parameters!$A$3:$N$65,8,FALSE)), 0, (VLOOKUP($I61,Veg_Parameters!$A$3:$N$65,8,FALSE)))</f>
        <v>0</v>
      </c>
      <c r="AT61" s="527">
        <f>AB61*(IF(ISNA(VLOOKUP($I61,Veg_Parameters!$A$3:$N$65,9,FALSE)), 0, (VLOOKUP($I61,Veg_Parameters!$A$3:$N$65,9,FALSE))))</f>
        <v>0</v>
      </c>
      <c r="AU61" s="527">
        <f>IF(ISBLANK(A61),0,VLOOKUP($I61,Veg_Parameters!$A$4:$U$65,21,))</f>
        <v>0</v>
      </c>
      <c r="AV61" s="527">
        <f t="shared" si="91"/>
        <v>0</v>
      </c>
      <c r="AW61" s="529">
        <f t="shared" si="92"/>
        <v>0</v>
      </c>
      <c r="AX61" s="529">
        <f t="shared" si="93"/>
        <v>0</v>
      </c>
      <c r="AY61" s="529">
        <f t="shared" si="75"/>
        <v>0</v>
      </c>
      <c r="AZ61" s="529">
        <f t="shared" si="94"/>
        <v>0</v>
      </c>
      <c r="BA61" s="529">
        <f t="shared" si="95"/>
        <v>0</v>
      </c>
      <c r="BB61" s="529">
        <f t="shared" si="96"/>
        <v>0</v>
      </c>
      <c r="BC61" s="529">
        <f t="shared" si="76"/>
        <v>0</v>
      </c>
      <c r="BD61" s="531"/>
      <c r="BE61" s="527">
        <f>AH61*(IF(ISNA(VLOOKUP($N61,Veg_Parameters!$A$3:$N$65,5,FALSE)),0,(VLOOKUP($N61,Veg_Parameters!$A$3:$N$65,5,FALSE))))</f>
        <v>0</v>
      </c>
      <c r="BF61" s="527">
        <f>IF(ISNA(VLOOKUP($N61,Veg_Parameters!$A$3:$N$65,4,FALSE)),0,(VLOOKUP($N61,Veg_Parameters!$A$3:$N$65,4,FALSE)))</f>
        <v>0</v>
      </c>
      <c r="BG61" s="527">
        <f>AH61*(IF(ISNA(VLOOKUP($N61,Veg_Parameters!$A$3:$N$65,7,FALSE)),0, (VLOOKUP($N61,Veg_Parameters!$A$3:$N$65,7,FALSE))))</f>
        <v>0</v>
      </c>
      <c r="BH61" s="527">
        <f>IF(ISNA(VLOOKUP($N61,Veg_Parameters!$A$3:$N$65,6,FALSE)), 0, (VLOOKUP($N61,Veg_Parameters!$A$3:$N$65,6,FALSE)))</f>
        <v>0</v>
      </c>
      <c r="BI61" s="529">
        <f t="shared" si="77"/>
        <v>20</v>
      </c>
      <c r="BJ61" s="529">
        <f t="shared" si="97"/>
        <v>0</v>
      </c>
      <c r="BK61" s="529">
        <f t="shared" si="78"/>
        <v>0</v>
      </c>
      <c r="BL61" s="530">
        <f t="shared" si="98"/>
        <v>0</v>
      </c>
      <c r="BM61" s="527" t="s">
        <v>3</v>
      </c>
      <c r="BN61" s="527">
        <f>IF(ISNA(VLOOKUP(N61,Veg_Parameters!$A$3:$N$65,8,FALSE)), 0, (VLOOKUP($N61,Veg_Parameters!$A$3:$N$65,8,FALSE)))</f>
        <v>0</v>
      </c>
      <c r="BO61" s="527">
        <f>AH61*(IF(ISNA(VLOOKUP($N61,Veg_Parameters!$A$3:$N$65,9,FALSE)), 0, (VLOOKUP($N61,Veg_Parameters!$A$3:$N$65,9,FALSE))))</f>
        <v>0</v>
      </c>
      <c r="BP61" s="527" t="str">
        <f>IF(ISBLANK(N61),"0",VLOOKUP($N61,Veg_Parameters!$A$4:$U$65,21,))</f>
        <v>0</v>
      </c>
      <c r="BQ61" s="529">
        <f t="shared" si="99"/>
        <v>0</v>
      </c>
      <c r="BR61" s="529">
        <f t="shared" si="100"/>
        <v>0</v>
      </c>
      <c r="BS61" s="529">
        <f t="shared" si="79"/>
        <v>0</v>
      </c>
      <c r="BT61" s="529">
        <f t="shared" si="101"/>
        <v>0</v>
      </c>
      <c r="BU61" s="529">
        <f t="shared" si="102"/>
        <v>0</v>
      </c>
      <c r="BV61" s="529">
        <f t="shared" si="103"/>
        <v>0</v>
      </c>
      <c r="BW61" s="532" t="str">
        <f t="shared" si="80"/>
        <v/>
      </c>
      <c r="BX61" s="532" t="str">
        <f t="shared" si="81"/>
        <v/>
      </c>
      <c r="BY61" s="532" t="str">
        <f t="shared" si="82"/>
        <v/>
      </c>
      <c r="BZ61" s="532" t="str">
        <f t="shared" si="83"/>
        <v/>
      </c>
      <c r="CA61" s="532">
        <f t="shared" si="84"/>
        <v>0</v>
      </c>
      <c r="CB61" s="533"/>
      <c r="CC61" s="624">
        <f t="shared" si="85"/>
        <v>0</v>
      </c>
      <c r="CD61" s="534">
        <f t="shared" si="86"/>
        <v>0</v>
      </c>
      <c r="CE61" s="534">
        <f t="shared" si="87"/>
        <v>0</v>
      </c>
      <c r="CF61" s="534">
        <f t="shared" si="88"/>
        <v>0</v>
      </c>
      <c r="CG61" s="534"/>
      <c r="CH61" s="534"/>
      <c r="CI61" s="534">
        <f t="shared" si="104"/>
        <v>0</v>
      </c>
      <c r="CL61" s="534">
        <f>IF(ISNA(VLOOKUP(I61,Veg_Parameters!$A$3:$N$65,13,FALSE)),0,(VLOOKUP(I61,Veg_Parameters!$A$3:$N$65,13,FALSE)))</f>
        <v>0</v>
      </c>
      <c r="CM61" s="534">
        <f t="shared" si="105"/>
        <v>0</v>
      </c>
      <c r="CN61" s="534">
        <f>IF(ISNA(VLOOKUP(N61,Veg_Parameters!$A$3:$N$65,13,FALSE)),0,(VLOOKUP(N61,Veg_Parameters!$A$3:$N$65,13,FALSE)))</f>
        <v>0</v>
      </c>
      <c r="CO61" s="523">
        <f t="shared" si="106"/>
        <v>0</v>
      </c>
    </row>
    <row r="62" spans="1:93" x14ac:dyDescent="0.2">
      <c r="A62" s="227"/>
      <c r="B62" s="171" t="str">
        <f t="shared" si="107"/>
        <v/>
      </c>
      <c r="C62" s="230"/>
      <c r="D62" s="169"/>
      <c r="E62" s="165"/>
      <c r="F62" s="165"/>
      <c r="G62" s="165"/>
      <c r="H62" s="165"/>
      <c r="I62" s="168"/>
      <c r="J62" s="167"/>
      <c r="K62" s="168"/>
      <c r="L62" s="167"/>
      <c r="M62" s="167"/>
      <c r="N62" s="168"/>
      <c r="O62" s="168"/>
      <c r="P62" s="167"/>
      <c r="Q62" s="167"/>
      <c r="R62" s="167"/>
      <c r="S62" s="222" t="str">
        <f>IF(ISBLANK(A62),"",IF(ISNA(VLOOKUP(I62,Veg_Parameters!$A$3:$N$65,3,FALSE)),0,(VLOOKUP(I62,Veg_Parameters!$A$3:$N$65,3,FALSE))))</f>
        <v/>
      </c>
      <c r="T62" s="222" t="str">
        <f>IF(ISBLANK(N62),"",IF(ISNA(VLOOKUP(N62,Veg_Parameters!$A$3:$N$65,3,FALSE)),0,(VLOOKUP(N62,Veg_Parameters!$A$3:$N$65,3,FALSE))))</f>
        <v/>
      </c>
      <c r="U62" s="523">
        <f t="shared" si="89"/>
        <v>0</v>
      </c>
      <c r="V62" s="523">
        <f t="shared" si="66"/>
        <v>0</v>
      </c>
      <c r="W62" s="524">
        <f>IF(ISBLANK(A62),0,IF(ISNA(VLOOKUP($I62,Veg_Parameters!$A$3:$N$65,10,FALSE)),0,(VLOOKUP($I62,Veg_Parameters!$A$3:$N$65,10,FALSE))))</f>
        <v>0</v>
      </c>
      <c r="X62" s="524">
        <f>IF(ISBLANK(A62),0,IF(ISNA(VLOOKUP($I62,Veg_Parameters!$A$3:$N$65,11,FALSE)),0,(VLOOKUP($I62,Veg_Parameters!$A$3:$N$65,11,FALSE))))</f>
        <v>0</v>
      </c>
      <c r="Y62" s="524">
        <f>IF(ISBLANK(A62),0,IF(ISNA(VLOOKUP($I62,Veg_Parameters!$A$3:$N$65,12,FALSE)),0,(VLOOKUP($I62,Veg_Parameters!$A$3:$N$65,12,FALSE))))</f>
        <v>0</v>
      </c>
      <c r="Z62" s="525">
        <f t="shared" si="1"/>
        <v>0</v>
      </c>
      <c r="AA62" s="525">
        <f t="shared" si="67"/>
        <v>0</v>
      </c>
      <c r="AB62" s="525">
        <f t="shared" si="68"/>
        <v>0</v>
      </c>
      <c r="AC62" s="524">
        <f>IF(ISBLANK(N62),0,IF(ISNA(VLOOKUP($N62,Veg_Parameters!$A$3:$N$65,10,FALSE)),0,(VLOOKUP($N62,Veg_Parameters!$A$3:$N$65,10,FALSE))))</f>
        <v>0</v>
      </c>
      <c r="AD62" s="524">
        <f>IF(ISBLANK(N62),0,IF(ISNA(VLOOKUP($N62,Veg_Parameters!$A$3:$N$65,11,FALSE)),0,(VLOOKUP($N62,Veg_Parameters!$A$3:$N$65,11,FALSE))))</f>
        <v>0</v>
      </c>
      <c r="AE62" s="524">
        <f>IF(ISBLANK(N62), 0, IF(ISNA(VLOOKUP($N62,Veg_Parameters!$A$3:$N$65,12,FALSE)),0,(VLOOKUP($N62,Veg_Parameters!$A$3:$N$65,12,FALSE))))</f>
        <v>0</v>
      </c>
      <c r="AF62" s="523">
        <f t="shared" si="69"/>
        <v>0</v>
      </c>
      <c r="AG62" s="523">
        <f t="shared" si="70"/>
        <v>0</v>
      </c>
      <c r="AH62" s="523">
        <f t="shared" si="71"/>
        <v>0</v>
      </c>
      <c r="AI62" s="526"/>
      <c r="AJ62" s="527">
        <f>AB62*(IF(ISNA(VLOOKUP($I62,Veg_Parameters!$A$3:$N$65,5,FALSE)),0,(VLOOKUP($I62,Veg_Parameters!$A$3:$N$65,5,FALSE))))</f>
        <v>0</v>
      </c>
      <c r="AK62" s="527">
        <f>IF(ISNA(VLOOKUP($I62,Veg_Parameters!$A$3:$N$65,4,FALSE)),0,(VLOOKUP($I62,Veg_Parameters!$A$3:$N$65,4,FALSE)))</f>
        <v>0</v>
      </c>
      <c r="AL62" s="527">
        <f>AB62*(IF(ISNA(VLOOKUP($I62,Veg_Parameters!$A$3:$N$65,7,FALSE)),0, (VLOOKUP($I62,Veg_Parameters!$A$3:$N$65,7,FALSE))))</f>
        <v>0</v>
      </c>
      <c r="AM62" s="528">
        <f>IF(ISNA(VLOOKUP($I62,Veg_Parameters!$A$3:$N$65,6,FALSE)), 0, (VLOOKUP($I62,Veg_Parameters!$A$3:$N$65,6,FALSE)))</f>
        <v>0</v>
      </c>
      <c r="AN62" s="529">
        <f t="shared" si="72"/>
        <v>20</v>
      </c>
      <c r="AO62" s="529">
        <f t="shared" si="73"/>
        <v>0</v>
      </c>
      <c r="AP62" s="529">
        <f t="shared" si="74"/>
        <v>0</v>
      </c>
      <c r="AQ62" s="530">
        <f t="shared" si="90"/>
        <v>0</v>
      </c>
      <c r="AR62" s="527" t="s">
        <v>3</v>
      </c>
      <c r="AS62" s="527">
        <f>IF(ISNA(VLOOKUP($I62,Veg_Parameters!$A$3:$N$65,8,FALSE)), 0, (VLOOKUP($I62,Veg_Parameters!$A$3:$N$65,8,FALSE)))</f>
        <v>0</v>
      </c>
      <c r="AT62" s="527">
        <f>AB62*(IF(ISNA(VLOOKUP($I62,Veg_Parameters!$A$3:$N$65,9,FALSE)), 0, (VLOOKUP($I62,Veg_Parameters!$A$3:$N$65,9,FALSE))))</f>
        <v>0</v>
      </c>
      <c r="AU62" s="527">
        <f>IF(ISBLANK(A62),0,VLOOKUP($I62,Veg_Parameters!$A$4:$U$65,21,))</f>
        <v>0</v>
      </c>
      <c r="AV62" s="527">
        <f t="shared" si="91"/>
        <v>0</v>
      </c>
      <c r="AW62" s="529">
        <f t="shared" si="92"/>
        <v>0</v>
      </c>
      <c r="AX62" s="529">
        <f t="shared" si="93"/>
        <v>0</v>
      </c>
      <c r="AY62" s="529">
        <f t="shared" si="75"/>
        <v>0</v>
      </c>
      <c r="AZ62" s="529">
        <f t="shared" si="94"/>
        <v>0</v>
      </c>
      <c r="BA62" s="529">
        <f t="shared" si="95"/>
        <v>0</v>
      </c>
      <c r="BB62" s="529">
        <f t="shared" si="96"/>
        <v>0</v>
      </c>
      <c r="BC62" s="529">
        <f t="shared" si="76"/>
        <v>0</v>
      </c>
      <c r="BD62" s="531"/>
      <c r="BE62" s="527">
        <f>AH62*(IF(ISNA(VLOOKUP($N62,Veg_Parameters!$A$3:$N$65,5,FALSE)),0,(VLOOKUP($N62,Veg_Parameters!$A$3:$N$65,5,FALSE))))</f>
        <v>0</v>
      </c>
      <c r="BF62" s="527">
        <f>IF(ISNA(VLOOKUP($N62,Veg_Parameters!$A$3:$N$65,4,FALSE)),0,(VLOOKUP($N62,Veg_Parameters!$A$3:$N$65,4,FALSE)))</f>
        <v>0</v>
      </c>
      <c r="BG62" s="527">
        <f>AH62*(IF(ISNA(VLOOKUP($N62,Veg_Parameters!$A$3:$N$65,7,FALSE)),0, (VLOOKUP($N62,Veg_Parameters!$A$3:$N$65,7,FALSE))))</f>
        <v>0</v>
      </c>
      <c r="BH62" s="527">
        <f>IF(ISNA(VLOOKUP($N62,Veg_Parameters!$A$3:$N$65,6,FALSE)), 0, (VLOOKUP($N62,Veg_Parameters!$A$3:$N$65,6,FALSE)))</f>
        <v>0</v>
      </c>
      <c r="BI62" s="529">
        <f t="shared" si="77"/>
        <v>20</v>
      </c>
      <c r="BJ62" s="529">
        <f t="shared" si="97"/>
        <v>0</v>
      </c>
      <c r="BK62" s="529">
        <f t="shared" si="78"/>
        <v>0</v>
      </c>
      <c r="BL62" s="530">
        <f t="shared" si="98"/>
        <v>0</v>
      </c>
      <c r="BM62" s="527" t="s">
        <v>3</v>
      </c>
      <c r="BN62" s="527">
        <f>IF(ISNA(VLOOKUP(N62,Veg_Parameters!$A$3:$N$65,8,FALSE)), 0, (VLOOKUP($N62,Veg_Parameters!$A$3:$N$65,8,FALSE)))</f>
        <v>0</v>
      </c>
      <c r="BO62" s="527">
        <f>AH62*(IF(ISNA(VLOOKUP($N62,Veg_Parameters!$A$3:$N$65,9,FALSE)), 0, (VLOOKUP($N62,Veg_Parameters!$A$3:$N$65,9,FALSE))))</f>
        <v>0</v>
      </c>
      <c r="BP62" s="527" t="str">
        <f>IF(ISBLANK(N62),"0",VLOOKUP($N62,Veg_Parameters!$A$4:$U$65,21,))</f>
        <v>0</v>
      </c>
      <c r="BQ62" s="529">
        <f t="shared" si="99"/>
        <v>0</v>
      </c>
      <c r="BR62" s="529">
        <f t="shared" si="100"/>
        <v>0</v>
      </c>
      <c r="BS62" s="529">
        <f t="shared" si="79"/>
        <v>0</v>
      </c>
      <c r="BT62" s="529">
        <f t="shared" si="101"/>
        <v>0</v>
      </c>
      <c r="BU62" s="529">
        <f t="shared" si="102"/>
        <v>0</v>
      </c>
      <c r="BV62" s="529">
        <f t="shared" si="103"/>
        <v>0</v>
      </c>
      <c r="BW62" s="532" t="str">
        <f t="shared" si="80"/>
        <v/>
      </c>
      <c r="BX62" s="532" t="str">
        <f t="shared" si="81"/>
        <v/>
      </c>
      <c r="BY62" s="532" t="str">
        <f t="shared" si="82"/>
        <v/>
      </c>
      <c r="BZ62" s="532" t="str">
        <f t="shared" si="83"/>
        <v/>
      </c>
      <c r="CA62" s="532">
        <f t="shared" si="84"/>
        <v>0</v>
      </c>
      <c r="CB62" s="533"/>
      <c r="CC62" s="624">
        <f t="shared" si="85"/>
        <v>0</v>
      </c>
      <c r="CD62" s="534">
        <f t="shared" si="86"/>
        <v>0</v>
      </c>
      <c r="CE62" s="534">
        <f t="shared" si="87"/>
        <v>0</v>
      </c>
      <c r="CF62" s="534">
        <f t="shared" si="88"/>
        <v>0</v>
      </c>
      <c r="CG62" s="534"/>
      <c r="CH62" s="534"/>
      <c r="CI62" s="534">
        <f t="shared" si="104"/>
        <v>0</v>
      </c>
      <c r="CL62" s="534">
        <f>IF(ISNA(VLOOKUP(I62,Veg_Parameters!$A$3:$N$65,13,FALSE)),0,(VLOOKUP(I62,Veg_Parameters!$A$3:$N$65,13,FALSE)))</f>
        <v>0</v>
      </c>
      <c r="CM62" s="534">
        <f t="shared" si="105"/>
        <v>0</v>
      </c>
      <c r="CN62" s="534">
        <f>IF(ISNA(VLOOKUP(N62,Veg_Parameters!$A$3:$N$65,13,FALSE)),0,(VLOOKUP(N62,Veg_Parameters!$A$3:$N$65,13,FALSE)))</f>
        <v>0</v>
      </c>
      <c r="CO62" s="523">
        <f t="shared" si="106"/>
        <v>0</v>
      </c>
    </row>
    <row r="63" spans="1:93" x14ac:dyDescent="0.2">
      <c r="A63" s="227"/>
      <c r="B63" s="171" t="str">
        <f t="shared" si="107"/>
        <v/>
      </c>
      <c r="C63" s="230"/>
      <c r="D63" s="169"/>
      <c r="E63" s="165"/>
      <c r="F63" s="165"/>
      <c r="G63" s="165"/>
      <c r="H63" s="165"/>
      <c r="I63" s="168"/>
      <c r="J63" s="167"/>
      <c r="K63" s="168"/>
      <c r="L63" s="167"/>
      <c r="M63" s="167"/>
      <c r="N63" s="168"/>
      <c r="O63" s="168"/>
      <c r="P63" s="167"/>
      <c r="Q63" s="167"/>
      <c r="R63" s="167"/>
      <c r="S63" s="222" t="str">
        <f>IF(ISBLANK(A63),"",IF(ISNA(VLOOKUP(I63,Veg_Parameters!$A$3:$N$65,3,FALSE)),0,(VLOOKUP(I63,Veg_Parameters!$A$3:$N$65,3,FALSE))))</f>
        <v/>
      </c>
      <c r="T63" s="222" t="str">
        <f>IF(ISBLANK(N63),"",IF(ISNA(VLOOKUP(N63,Veg_Parameters!$A$3:$N$65,3,FALSE)),0,(VLOOKUP(N63,Veg_Parameters!$A$3:$N$65,3,FALSE))))</f>
        <v/>
      </c>
      <c r="U63" s="523">
        <f t="shared" si="89"/>
        <v>0</v>
      </c>
      <c r="V63" s="523">
        <f t="shared" si="66"/>
        <v>0</v>
      </c>
      <c r="W63" s="524">
        <f>IF(ISBLANK(A63),0,IF(ISNA(VLOOKUP($I63,Veg_Parameters!$A$3:$N$65,10,FALSE)),0,(VLOOKUP($I63,Veg_Parameters!$A$3:$N$65,10,FALSE))))</f>
        <v>0</v>
      </c>
      <c r="X63" s="524">
        <f>IF(ISBLANK(A63),0,IF(ISNA(VLOOKUP($I63,Veg_Parameters!$A$3:$N$65,11,FALSE)),0,(VLOOKUP($I63,Veg_Parameters!$A$3:$N$65,11,FALSE))))</f>
        <v>0</v>
      </c>
      <c r="Y63" s="524">
        <f>IF(ISBLANK(A63),0,IF(ISNA(VLOOKUP($I63,Veg_Parameters!$A$3:$N$65,12,FALSE)),0,(VLOOKUP($I63,Veg_Parameters!$A$3:$N$65,12,FALSE))))</f>
        <v>0</v>
      </c>
      <c r="Z63" s="525">
        <f t="shared" si="1"/>
        <v>0</v>
      </c>
      <c r="AA63" s="525">
        <f t="shared" si="67"/>
        <v>0</v>
      </c>
      <c r="AB63" s="525">
        <f t="shared" si="68"/>
        <v>0</v>
      </c>
      <c r="AC63" s="524">
        <f>IF(ISBLANK(N63),0,IF(ISNA(VLOOKUP($N63,Veg_Parameters!$A$3:$N$65,10,FALSE)),0,(VLOOKUP($N63,Veg_Parameters!$A$3:$N$65,10,FALSE))))</f>
        <v>0</v>
      </c>
      <c r="AD63" s="524">
        <f>IF(ISBLANK(N63),0,IF(ISNA(VLOOKUP($N63,Veg_Parameters!$A$3:$N$65,11,FALSE)),0,(VLOOKUP($N63,Veg_Parameters!$A$3:$N$65,11,FALSE))))</f>
        <v>0</v>
      </c>
      <c r="AE63" s="524">
        <f>IF(ISBLANK(N63), 0, IF(ISNA(VLOOKUP($N63,Veg_Parameters!$A$3:$N$65,12,FALSE)),0,(VLOOKUP($N63,Veg_Parameters!$A$3:$N$65,12,FALSE))))</f>
        <v>0</v>
      </c>
      <c r="AF63" s="523">
        <f t="shared" si="69"/>
        <v>0</v>
      </c>
      <c r="AG63" s="523">
        <f t="shared" si="70"/>
        <v>0</v>
      </c>
      <c r="AH63" s="523">
        <f t="shared" si="71"/>
        <v>0</v>
      </c>
      <c r="AI63" s="526"/>
      <c r="AJ63" s="527">
        <f>AB63*(IF(ISNA(VLOOKUP($I63,Veg_Parameters!$A$3:$N$65,5,FALSE)),0,(VLOOKUP($I63,Veg_Parameters!$A$3:$N$65,5,FALSE))))</f>
        <v>0</v>
      </c>
      <c r="AK63" s="527">
        <f>IF(ISNA(VLOOKUP($I63,Veg_Parameters!$A$3:$N$65,4,FALSE)),0,(VLOOKUP($I63,Veg_Parameters!$A$3:$N$65,4,FALSE)))</f>
        <v>0</v>
      </c>
      <c r="AL63" s="527">
        <f>AB63*(IF(ISNA(VLOOKUP($I63,Veg_Parameters!$A$3:$N$65,7,FALSE)),0, (VLOOKUP($I63,Veg_Parameters!$A$3:$N$65,7,FALSE))))</f>
        <v>0</v>
      </c>
      <c r="AM63" s="528">
        <f>IF(ISNA(VLOOKUP($I63,Veg_Parameters!$A$3:$N$65,6,FALSE)), 0, (VLOOKUP($I63,Veg_Parameters!$A$3:$N$65,6,FALSE)))</f>
        <v>0</v>
      </c>
      <c r="AN63" s="529">
        <f t="shared" si="72"/>
        <v>20</v>
      </c>
      <c r="AO63" s="529">
        <f t="shared" si="73"/>
        <v>0</v>
      </c>
      <c r="AP63" s="529">
        <f t="shared" si="74"/>
        <v>0</v>
      </c>
      <c r="AQ63" s="530">
        <f t="shared" si="90"/>
        <v>0</v>
      </c>
      <c r="AR63" s="527" t="s">
        <v>3</v>
      </c>
      <c r="AS63" s="527">
        <f>IF(ISNA(VLOOKUP($I63,Veg_Parameters!$A$3:$N$65,8,FALSE)), 0, (VLOOKUP($I63,Veg_Parameters!$A$3:$N$65,8,FALSE)))</f>
        <v>0</v>
      </c>
      <c r="AT63" s="527">
        <f>AB63*(IF(ISNA(VLOOKUP($I63,Veg_Parameters!$A$3:$N$65,9,FALSE)), 0, (VLOOKUP($I63,Veg_Parameters!$A$3:$N$65,9,FALSE))))</f>
        <v>0</v>
      </c>
      <c r="AU63" s="527">
        <f>IF(ISBLANK(A63),0,VLOOKUP($I63,Veg_Parameters!$A$4:$U$65,21,))</f>
        <v>0</v>
      </c>
      <c r="AV63" s="527">
        <f t="shared" si="91"/>
        <v>0</v>
      </c>
      <c r="AW63" s="529">
        <f t="shared" si="92"/>
        <v>0</v>
      </c>
      <c r="AX63" s="529">
        <f t="shared" si="93"/>
        <v>0</v>
      </c>
      <c r="AY63" s="529">
        <f t="shared" si="75"/>
        <v>0</v>
      </c>
      <c r="AZ63" s="529">
        <f t="shared" si="94"/>
        <v>0</v>
      </c>
      <c r="BA63" s="529">
        <f t="shared" si="95"/>
        <v>0</v>
      </c>
      <c r="BB63" s="529">
        <f t="shared" si="96"/>
        <v>0</v>
      </c>
      <c r="BC63" s="529">
        <f t="shared" si="76"/>
        <v>0</v>
      </c>
      <c r="BD63" s="531"/>
      <c r="BE63" s="527">
        <f>AH63*(IF(ISNA(VLOOKUP($N63,Veg_Parameters!$A$3:$N$65,5,FALSE)),0,(VLOOKUP($N63,Veg_Parameters!$A$3:$N$65,5,FALSE))))</f>
        <v>0</v>
      </c>
      <c r="BF63" s="527">
        <f>IF(ISNA(VLOOKUP($N63,Veg_Parameters!$A$3:$N$65,4,FALSE)),0,(VLOOKUP($N63,Veg_Parameters!$A$3:$N$65,4,FALSE)))</f>
        <v>0</v>
      </c>
      <c r="BG63" s="527">
        <f>AH63*(IF(ISNA(VLOOKUP($N63,Veg_Parameters!$A$3:$N$65,7,FALSE)),0, (VLOOKUP($N63,Veg_Parameters!$A$3:$N$65,7,FALSE))))</f>
        <v>0</v>
      </c>
      <c r="BH63" s="527">
        <f>IF(ISNA(VLOOKUP($N63,Veg_Parameters!$A$3:$N$65,6,FALSE)), 0, (VLOOKUP($N63,Veg_Parameters!$A$3:$N$65,6,FALSE)))</f>
        <v>0</v>
      </c>
      <c r="BI63" s="529">
        <f t="shared" si="77"/>
        <v>20</v>
      </c>
      <c r="BJ63" s="529">
        <f t="shared" si="97"/>
        <v>0</v>
      </c>
      <c r="BK63" s="529">
        <f t="shared" si="78"/>
        <v>0</v>
      </c>
      <c r="BL63" s="530">
        <f t="shared" si="98"/>
        <v>0</v>
      </c>
      <c r="BM63" s="527" t="s">
        <v>3</v>
      </c>
      <c r="BN63" s="527">
        <f>IF(ISNA(VLOOKUP(N63,Veg_Parameters!$A$3:$N$65,8,FALSE)), 0, (VLOOKUP($N63,Veg_Parameters!$A$3:$N$65,8,FALSE)))</f>
        <v>0</v>
      </c>
      <c r="BO63" s="527">
        <f>AH63*(IF(ISNA(VLOOKUP($N63,Veg_Parameters!$A$3:$N$65,9,FALSE)), 0, (VLOOKUP($N63,Veg_Parameters!$A$3:$N$65,9,FALSE))))</f>
        <v>0</v>
      </c>
      <c r="BP63" s="527" t="str">
        <f>IF(ISBLANK(N63),"0",VLOOKUP($N63,Veg_Parameters!$A$4:$U$65,21,))</f>
        <v>0</v>
      </c>
      <c r="BQ63" s="529">
        <f t="shared" si="99"/>
        <v>0</v>
      </c>
      <c r="BR63" s="529">
        <f t="shared" si="100"/>
        <v>0</v>
      </c>
      <c r="BS63" s="529">
        <f t="shared" si="79"/>
        <v>0</v>
      </c>
      <c r="BT63" s="529">
        <f t="shared" si="101"/>
        <v>0</v>
      </c>
      <c r="BU63" s="529">
        <f t="shared" si="102"/>
        <v>0</v>
      </c>
      <c r="BV63" s="529">
        <f t="shared" si="103"/>
        <v>0</v>
      </c>
      <c r="BW63" s="532" t="str">
        <f t="shared" si="80"/>
        <v/>
      </c>
      <c r="BX63" s="532" t="str">
        <f t="shared" si="81"/>
        <v/>
      </c>
      <c r="BY63" s="532" t="str">
        <f t="shared" si="82"/>
        <v/>
      </c>
      <c r="BZ63" s="532" t="str">
        <f t="shared" si="83"/>
        <v/>
      </c>
      <c r="CA63" s="532">
        <f t="shared" si="84"/>
        <v>0</v>
      </c>
      <c r="CB63" s="533"/>
      <c r="CC63" s="624">
        <f t="shared" si="85"/>
        <v>0</v>
      </c>
      <c r="CD63" s="534">
        <f t="shared" si="86"/>
        <v>0</v>
      </c>
      <c r="CE63" s="534">
        <f t="shared" si="87"/>
        <v>0</v>
      </c>
      <c r="CF63" s="534">
        <f t="shared" si="88"/>
        <v>0</v>
      </c>
      <c r="CG63" s="534"/>
      <c r="CH63" s="534"/>
      <c r="CI63" s="534">
        <f t="shared" si="104"/>
        <v>0</v>
      </c>
      <c r="CL63" s="534">
        <f>IF(ISNA(VLOOKUP(I63,Veg_Parameters!$A$3:$N$65,13,FALSE)),0,(VLOOKUP(I63,Veg_Parameters!$A$3:$N$65,13,FALSE)))</f>
        <v>0</v>
      </c>
      <c r="CM63" s="534">
        <f t="shared" si="105"/>
        <v>0</v>
      </c>
      <c r="CN63" s="534">
        <f>IF(ISNA(VLOOKUP(N63,Veg_Parameters!$A$3:$N$65,13,FALSE)),0,(VLOOKUP(N63,Veg_Parameters!$A$3:$N$65,13,FALSE)))</f>
        <v>0</v>
      </c>
      <c r="CO63" s="523">
        <f t="shared" si="106"/>
        <v>0</v>
      </c>
    </row>
    <row r="64" spans="1:93" x14ac:dyDescent="0.2">
      <c r="A64" s="227"/>
      <c r="B64" s="171" t="str">
        <f t="shared" si="107"/>
        <v/>
      </c>
      <c r="C64" s="230"/>
      <c r="D64" s="169"/>
      <c r="E64" s="165"/>
      <c r="F64" s="165"/>
      <c r="G64" s="165"/>
      <c r="H64" s="165"/>
      <c r="I64" s="168"/>
      <c r="J64" s="167"/>
      <c r="K64" s="168"/>
      <c r="L64" s="167"/>
      <c r="M64" s="167"/>
      <c r="N64" s="168"/>
      <c r="O64" s="168"/>
      <c r="P64" s="167"/>
      <c r="Q64" s="167"/>
      <c r="R64" s="167"/>
      <c r="S64" s="222" t="str">
        <f>IF(ISBLANK(A64),"",IF(ISNA(VLOOKUP(I64,Veg_Parameters!$A$3:$N$65,3,FALSE)),0,(VLOOKUP(I64,Veg_Parameters!$A$3:$N$65,3,FALSE))))</f>
        <v/>
      </c>
      <c r="T64" s="222" t="str">
        <f>IF(ISBLANK(N64),"",IF(ISNA(VLOOKUP(N64,Veg_Parameters!$A$3:$N$65,3,FALSE)),0,(VLOOKUP(N64,Veg_Parameters!$A$3:$N$65,3,FALSE))))</f>
        <v/>
      </c>
      <c r="U64" s="523">
        <f t="shared" si="89"/>
        <v>0</v>
      </c>
      <c r="V64" s="523">
        <f t="shared" si="66"/>
        <v>0</v>
      </c>
      <c r="W64" s="524">
        <f>IF(ISBLANK(A64),0,IF(ISNA(VLOOKUP($I64,Veg_Parameters!$A$3:$N$65,10,FALSE)),0,(VLOOKUP($I64,Veg_Parameters!$A$3:$N$65,10,FALSE))))</f>
        <v>0</v>
      </c>
      <c r="X64" s="524">
        <f>IF(ISBLANK(A64),0,IF(ISNA(VLOOKUP($I64,Veg_Parameters!$A$3:$N$65,11,FALSE)),0,(VLOOKUP($I64,Veg_Parameters!$A$3:$N$65,11,FALSE))))</f>
        <v>0</v>
      </c>
      <c r="Y64" s="524">
        <f>IF(ISBLANK(A64),0,IF(ISNA(VLOOKUP($I64,Veg_Parameters!$A$3:$N$65,12,FALSE)),0,(VLOOKUP($I64,Veg_Parameters!$A$3:$N$65,12,FALSE))))</f>
        <v>0</v>
      </c>
      <c r="Z64" s="525">
        <f t="shared" si="1"/>
        <v>0</v>
      </c>
      <c r="AA64" s="525">
        <f t="shared" si="67"/>
        <v>0</v>
      </c>
      <c r="AB64" s="525">
        <f t="shared" si="68"/>
        <v>0</v>
      </c>
      <c r="AC64" s="524">
        <f>IF(ISBLANK(N64),0,IF(ISNA(VLOOKUP($N64,Veg_Parameters!$A$3:$N$65,10,FALSE)),0,(VLOOKUP($N64,Veg_Parameters!$A$3:$N$65,10,FALSE))))</f>
        <v>0</v>
      </c>
      <c r="AD64" s="524">
        <f>IF(ISBLANK(N64),0,IF(ISNA(VLOOKUP($N64,Veg_Parameters!$A$3:$N$65,11,FALSE)),0,(VLOOKUP($N64,Veg_Parameters!$A$3:$N$65,11,FALSE))))</f>
        <v>0</v>
      </c>
      <c r="AE64" s="524">
        <f>IF(ISBLANK(N64), 0, IF(ISNA(VLOOKUP($N64,Veg_Parameters!$A$3:$N$65,12,FALSE)),0,(VLOOKUP($N64,Veg_Parameters!$A$3:$N$65,12,FALSE))))</f>
        <v>0</v>
      </c>
      <c r="AF64" s="523">
        <f t="shared" si="69"/>
        <v>0</v>
      </c>
      <c r="AG64" s="523">
        <f t="shared" si="70"/>
        <v>0</v>
      </c>
      <c r="AH64" s="523">
        <f t="shared" si="71"/>
        <v>0</v>
      </c>
      <c r="AI64" s="526"/>
      <c r="AJ64" s="527">
        <f>AB64*(IF(ISNA(VLOOKUP($I64,Veg_Parameters!$A$3:$N$65,5,FALSE)),0,(VLOOKUP($I64,Veg_Parameters!$A$3:$N$65,5,FALSE))))</f>
        <v>0</v>
      </c>
      <c r="AK64" s="527">
        <f>IF(ISNA(VLOOKUP($I64,Veg_Parameters!$A$3:$N$65,4,FALSE)),0,(VLOOKUP($I64,Veg_Parameters!$A$3:$N$65,4,FALSE)))</f>
        <v>0</v>
      </c>
      <c r="AL64" s="527">
        <f>AB64*(IF(ISNA(VLOOKUP($I64,Veg_Parameters!$A$3:$N$65,7,FALSE)),0, (VLOOKUP($I64,Veg_Parameters!$A$3:$N$65,7,FALSE))))</f>
        <v>0</v>
      </c>
      <c r="AM64" s="528">
        <f>IF(ISNA(VLOOKUP($I64,Veg_Parameters!$A$3:$N$65,6,FALSE)), 0, (VLOOKUP($I64,Veg_Parameters!$A$3:$N$65,6,FALSE)))</f>
        <v>0</v>
      </c>
      <c r="AN64" s="529">
        <f t="shared" si="72"/>
        <v>20</v>
      </c>
      <c r="AO64" s="529">
        <f t="shared" si="73"/>
        <v>0</v>
      </c>
      <c r="AP64" s="529">
        <f t="shared" si="74"/>
        <v>0</v>
      </c>
      <c r="AQ64" s="530">
        <f t="shared" si="90"/>
        <v>0</v>
      </c>
      <c r="AR64" s="527" t="s">
        <v>3</v>
      </c>
      <c r="AS64" s="527">
        <f>IF(ISNA(VLOOKUP($I64,Veg_Parameters!$A$3:$N$65,8,FALSE)), 0, (VLOOKUP($I64,Veg_Parameters!$A$3:$N$65,8,FALSE)))</f>
        <v>0</v>
      </c>
      <c r="AT64" s="527">
        <f>AB64*(IF(ISNA(VLOOKUP($I64,Veg_Parameters!$A$3:$N$65,9,FALSE)), 0, (VLOOKUP($I64,Veg_Parameters!$A$3:$N$65,9,FALSE))))</f>
        <v>0</v>
      </c>
      <c r="AU64" s="527">
        <f>IF(ISBLANK(A64),0,VLOOKUP($I64,Veg_Parameters!$A$4:$U$65,21,))</f>
        <v>0</v>
      </c>
      <c r="AV64" s="527">
        <f t="shared" si="91"/>
        <v>0</v>
      </c>
      <c r="AW64" s="529">
        <f t="shared" si="92"/>
        <v>0</v>
      </c>
      <c r="AX64" s="529">
        <f t="shared" si="93"/>
        <v>0</v>
      </c>
      <c r="AY64" s="529">
        <f t="shared" si="75"/>
        <v>0</v>
      </c>
      <c r="AZ64" s="529">
        <f t="shared" si="94"/>
        <v>0</v>
      </c>
      <c r="BA64" s="529">
        <f t="shared" si="95"/>
        <v>0</v>
      </c>
      <c r="BB64" s="529">
        <f t="shared" si="96"/>
        <v>0</v>
      </c>
      <c r="BC64" s="529">
        <f t="shared" si="76"/>
        <v>0</v>
      </c>
      <c r="BD64" s="531"/>
      <c r="BE64" s="527">
        <f>AH64*(IF(ISNA(VLOOKUP($N64,Veg_Parameters!$A$3:$N$65,5,FALSE)),0,(VLOOKUP($N64,Veg_Parameters!$A$3:$N$65,5,FALSE))))</f>
        <v>0</v>
      </c>
      <c r="BF64" s="527">
        <f>IF(ISNA(VLOOKUP($N64,Veg_Parameters!$A$3:$N$65,4,FALSE)),0,(VLOOKUP($N64,Veg_Parameters!$A$3:$N$65,4,FALSE)))</f>
        <v>0</v>
      </c>
      <c r="BG64" s="527">
        <f>AH64*(IF(ISNA(VLOOKUP($N64,Veg_Parameters!$A$3:$N$65,7,FALSE)),0, (VLOOKUP($N64,Veg_Parameters!$A$3:$N$65,7,FALSE))))</f>
        <v>0</v>
      </c>
      <c r="BH64" s="527">
        <f>IF(ISNA(VLOOKUP($N64,Veg_Parameters!$A$3:$N$65,6,FALSE)), 0, (VLOOKUP($N64,Veg_Parameters!$A$3:$N$65,6,FALSE)))</f>
        <v>0</v>
      </c>
      <c r="BI64" s="529">
        <f t="shared" si="77"/>
        <v>20</v>
      </c>
      <c r="BJ64" s="529">
        <f t="shared" si="97"/>
        <v>0</v>
      </c>
      <c r="BK64" s="529">
        <f t="shared" si="78"/>
        <v>0</v>
      </c>
      <c r="BL64" s="530">
        <f t="shared" si="98"/>
        <v>0</v>
      </c>
      <c r="BM64" s="527" t="s">
        <v>3</v>
      </c>
      <c r="BN64" s="527">
        <f>IF(ISNA(VLOOKUP(N64,Veg_Parameters!$A$3:$N$65,8,FALSE)), 0, (VLOOKUP($N64,Veg_Parameters!$A$3:$N$65,8,FALSE)))</f>
        <v>0</v>
      </c>
      <c r="BO64" s="527">
        <f>AH64*(IF(ISNA(VLOOKUP($N64,Veg_Parameters!$A$3:$N$65,9,FALSE)), 0, (VLOOKUP($N64,Veg_Parameters!$A$3:$N$65,9,FALSE))))</f>
        <v>0</v>
      </c>
      <c r="BP64" s="527" t="str">
        <f>IF(ISBLANK(N64),"0",VLOOKUP($N64,Veg_Parameters!$A$4:$U$65,21,))</f>
        <v>0</v>
      </c>
      <c r="BQ64" s="529">
        <f t="shared" si="99"/>
        <v>0</v>
      </c>
      <c r="BR64" s="529">
        <f t="shared" si="100"/>
        <v>0</v>
      </c>
      <c r="BS64" s="529">
        <f t="shared" si="79"/>
        <v>0</v>
      </c>
      <c r="BT64" s="529">
        <f t="shared" si="101"/>
        <v>0</v>
      </c>
      <c r="BU64" s="529">
        <f t="shared" si="102"/>
        <v>0</v>
      </c>
      <c r="BV64" s="529">
        <f t="shared" si="103"/>
        <v>0</v>
      </c>
      <c r="BW64" s="532" t="str">
        <f t="shared" si="80"/>
        <v/>
      </c>
      <c r="BX64" s="532" t="str">
        <f t="shared" si="81"/>
        <v/>
      </c>
      <c r="BY64" s="532" t="str">
        <f t="shared" si="82"/>
        <v/>
      </c>
      <c r="BZ64" s="532" t="str">
        <f t="shared" si="83"/>
        <v/>
      </c>
      <c r="CA64" s="532">
        <f t="shared" si="84"/>
        <v>0</v>
      </c>
      <c r="CB64" s="533"/>
      <c r="CC64" s="624">
        <f t="shared" si="85"/>
        <v>0</v>
      </c>
      <c r="CD64" s="534">
        <f t="shared" si="86"/>
        <v>0</v>
      </c>
      <c r="CE64" s="534">
        <f t="shared" si="87"/>
        <v>0</v>
      </c>
      <c r="CF64" s="534">
        <f t="shared" si="88"/>
        <v>0</v>
      </c>
      <c r="CG64" s="534"/>
      <c r="CH64" s="534"/>
      <c r="CI64" s="534">
        <f t="shared" si="104"/>
        <v>0</v>
      </c>
      <c r="CL64" s="534">
        <f>IF(ISNA(VLOOKUP(I64,Veg_Parameters!$A$3:$N$65,13,FALSE)),0,(VLOOKUP(I64,Veg_Parameters!$A$3:$N$65,13,FALSE)))</f>
        <v>0</v>
      </c>
      <c r="CM64" s="534">
        <f t="shared" si="105"/>
        <v>0</v>
      </c>
      <c r="CN64" s="534">
        <f>IF(ISNA(VLOOKUP(N64,Veg_Parameters!$A$3:$N$65,13,FALSE)),0,(VLOOKUP(N64,Veg_Parameters!$A$3:$N$65,13,FALSE)))</f>
        <v>0</v>
      </c>
      <c r="CO64" s="523">
        <f t="shared" si="106"/>
        <v>0</v>
      </c>
    </row>
    <row r="65" spans="1:93" x14ac:dyDescent="0.2">
      <c r="A65" s="227"/>
      <c r="B65" s="171" t="str">
        <f t="shared" si="107"/>
        <v/>
      </c>
      <c r="C65" s="230"/>
      <c r="D65" s="169"/>
      <c r="E65" s="165"/>
      <c r="F65" s="165"/>
      <c r="G65" s="165"/>
      <c r="H65" s="165"/>
      <c r="I65" s="168"/>
      <c r="J65" s="167"/>
      <c r="K65" s="168"/>
      <c r="L65" s="167"/>
      <c r="M65" s="167"/>
      <c r="N65" s="168"/>
      <c r="O65" s="168"/>
      <c r="P65" s="167"/>
      <c r="Q65" s="167"/>
      <c r="R65" s="167"/>
      <c r="S65" s="222" t="str">
        <f>IF(ISBLANK(A65),"",IF(ISNA(VLOOKUP(I65,Veg_Parameters!$A$3:$N$65,3,FALSE)),0,(VLOOKUP(I65,Veg_Parameters!$A$3:$N$65,3,FALSE))))</f>
        <v/>
      </c>
      <c r="T65" s="222" t="str">
        <f>IF(ISBLANK(N65),"",IF(ISNA(VLOOKUP(N65,Veg_Parameters!$A$3:$N$65,3,FALSE)),0,(VLOOKUP(N65,Veg_Parameters!$A$3:$N$65,3,FALSE))))</f>
        <v/>
      </c>
      <c r="U65" s="523">
        <f t="shared" si="89"/>
        <v>0</v>
      </c>
      <c r="V65" s="523">
        <f t="shared" si="66"/>
        <v>0</v>
      </c>
      <c r="W65" s="524">
        <f>IF(ISBLANK(A65),0,IF(ISNA(VLOOKUP($I65,Veg_Parameters!$A$3:$N$65,10,FALSE)),0,(VLOOKUP($I65,Veg_Parameters!$A$3:$N$65,10,FALSE))))</f>
        <v>0</v>
      </c>
      <c r="X65" s="524">
        <f>IF(ISBLANK(A65),0,IF(ISNA(VLOOKUP($I65,Veg_Parameters!$A$3:$N$65,11,FALSE)),0,(VLOOKUP($I65,Veg_Parameters!$A$3:$N$65,11,FALSE))))</f>
        <v>0</v>
      </c>
      <c r="Y65" s="524">
        <f>IF(ISBLANK(A65),0,IF(ISNA(VLOOKUP($I65,Veg_Parameters!$A$3:$N$65,12,FALSE)),0,(VLOOKUP($I65,Veg_Parameters!$A$3:$N$65,12,FALSE))))</f>
        <v>0</v>
      </c>
      <c r="Z65" s="525">
        <f t="shared" si="1"/>
        <v>0</v>
      </c>
      <c r="AA65" s="525">
        <f t="shared" si="67"/>
        <v>0</v>
      </c>
      <c r="AB65" s="525">
        <f t="shared" si="68"/>
        <v>0</v>
      </c>
      <c r="AC65" s="524">
        <f>IF(ISBLANK(N65),0,IF(ISNA(VLOOKUP($N65,Veg_Parameters!$A$3:$N$65,10,FALSE)),0,(VLOOKUP($N65,Veg_Parameters!$A$3:$N$65,10,FALSE))))</f>
        <v>0</v>
      </c>
      <c r="AD65" s="524">
        <f>IF(ISBLANK(N65),0,IF(ISNA(VLOOKUP($N65,Veg_Parameters!$A$3:$N$65,11,FALSE)),0,(VLOOKUP($N65,Veg_Parameters!$A$3:$N$65,11,FALSE))))</f>
        <v>0</v>
      </c>
      <c r="AE65" s="524">
        <f>IF(ISBLANK(N65), 0, IF(ISNA(VLOOKUP($N65,Veg_Parameters!$A$3:$N$65,12,FALSE)),0,(VLOOKUP($N65,Veg_Parameters!$A$3:$N$65,12,FALSE))))</f>
        <v>0</v>
      </c>
      <c r="AF65" s="523">
        <f t="shared" si="69"/>
        <v>0</v>
      </c>
      <c r="AG65" s="523">
        <f t="shared" si="70"/>
        <v>0</v>
      </c>
      <c r="AH65" s="523">
        <f t="shared" si="71"/>
        <v>0</v>
      </c>
      <c r="AI65" s="526"/>
      <c r="AJ65" s="527">
        <f>AB65*(IF(ISNA(VLOOKUP($I65,Veg_Parameters!$A$3:$N$65,5,FALSE)),0,(VLOOKUP($I65,Veg_Parameters!$A$3:$N$65,5,FALSE))))</f>
        <v>0</v>
      </c>
      <c r="AK65" s="527">
        <f>IF(ISNA(VLOOKUP($I65,Veg_Parameters!$A$3:$N$65,4,FALSE)),0,(VLOOKUP($I65,Veg_Parameters!$A$3:$N$65,4,FALSE)))</f>
        <v>0</v>
      </c>
      <c r="AL65" s="527">
        <f>AB65*(IF(ISNA(VLOOKUP($I65,Veg_Parameters!$A$3:$N$65,7,FALSE)),0, (VLOOKUP($I65,Veg_Parameters!$A$3:$N$65,7,FALSE))))</f>
        <v>0</v>
      </c>
      <c r="AM65" s="528">
        <f>IF(ISNA(VLOOKUP($I65,Veg_Parameters!$A$3:$N$65,6,FALSE)), 0, (VLOOKUP($I65,Veg_Parameters!$A$3:$N$65,6,FALSE)))</f>
        <v>0</v>
      </c>
      <c r="AN65" s="529">
        <f t="shared" si="72"/>
        <v>20</v>
      </c>
      <c r="AO65" s="529">
        <f t="shared" si="73"/>
        <v>0</v>
      </c>
      <c r="AP65" s="529">
        <f t="shared" si="74"/>
        <v>0</v>
      </c>
      <c r="AQ65" s="530">
        <f t="shared" si="90"/>
        <v>0</v>
      </c>
      <c r="AR65" s="527" t="s">
        <v>3</v>
      </c>
      <c r="AS65" s="527">
        <f>IF(ISNA(VLOOKUP($I65,Veg_Parameters!$A$3:$N$65,8,FALSE)), 0, (VLOOKUP($I65,Veg_Parameters!$A$3:$N$65,8,FALSE)))</f>
        <v>0</v>
      </c>
      <c r="AT65" s="527">
        <f>AB65*(IF(ISNA(VLOOKUP($I65,Veg_Parameters!$A$3:$N$65,9,FALSE)), 0, (VLOOKUP($I65,Veg_Parameters!$A$3:$N$65,9,FALSE))))</f>
        <v>0</v>
      </c>
      <c r="AU65" s="527">
        <f>IF(ISBLANK(A65),0,VLOOKUP($I65,Veg_Parameters!$A$4:$U$65,21,))</f>
        <v>0</v>
      </c>
      <c r="AV65" s="527">
        <f t="shared" si="91"/>
        <v>0</v>
      </c>
      <c r="AW65" s="529">
        <f t="shared" si="92"/>
        <v>0</v>
      </c>
      <c r="AX65" s="529">
        <f t="shared" si="93"/>
        <v>0</v>
      </c>
      <c r="AY65" s="529">
        <f t="shared" si="75"/>
        <v>0</v>
      </c>
      <c r="AZ65" s="529">
        <f t="shared" si="94"/>
        <v>0</v>
      </c>
      <c r="BA65" s="529">
        <f t="shared" si="95"/>
        <v>0</v>
      </c>
      <c r="BB65" s="529">
        <f t="shared" si="96"/>
        <v>0</v>
      </c>
      <c r="BC65" s="529">
        <f t="shared" si="76"/>
        <v>0</v>
      </c>
      <c r="BD65" s="531"/>
      <c r="BE65" s="527">
        <f>AH65*(IF(ISNA(VLOOKUP($N65,Veg_Parameters!$A$3:$N$65,5,FALSE)),0,(VLOOKUP($N65,Veg_Parameters!$A$3:$N$65,5,FALSE))))</f>
        <v>0</v>
      </c>
      <c r="BF65" s="527">
        <f>IF(ISNA(VLOOKUP($N65,Veg_Parameters!$A$3:$N$65,4,FALSE)),0,(VLOOKUP($N65,Veg_Parameters!$A$3:$N$65,4,FALSE)))</f>
        <v>0</v>
      </c>
      <c r="BG65" s="527">
        <f>AH65*(IF(ISNA(VLOOKUP($N65,Veg_Parameters!$A$3:$N$65,7,FALSE)),0, (VLOOKUP($N65,Veg_Parameters!$A$3:$N$65,7,FALSE))))</f>
        <v>0</v>
      </c>
      <c r="BH65" s="527">
        <f>IF(ISNA(VLOOKUP($N65,Veg_Parameters!$A$3:$N$65,6,FALSE)), 0, (VLOOKUP($N65,Veg_Parameters!$A$3:$N$65,6,FALSE)))</f>
        <v>0</v>
      </c>
      <c r="BI65" s="529">
        <f t="shared" si="77"/>
        <v>20</v>
      </c>
      <c r="BJ65" s="529">
        <f t="shared" si="97"/>
        <v>0</v>
      </c>
      <c r="BK65" s="529">
        <f t="shared" si="78"/>
        <v>0</v>
      </c>
      <c r="BL65" s="530">
        <f t="shared" si="98"/>
        <v>0</v>
      </c>
      <c r="BM65" s="527" t="s">
        <v>3</v>
      </c>
      <c r="BN65" s="527">
        <f>IF(ISNA(VLOOKUP(N65,Veg_Parameters!$A$3:$N$65,8,FALSE)), 0, (VLOOKUP($N65,Veg_Parameters!$A$3:$N$65,8,FALSE)))</f>
        <v>0</v>
      </c>
      <c r="BO65" s="527">
        <f>AH65*(IF(ISNA(VLOOKUP($N65,Veg_Parameters!$A$3:$N$65,9,FALSE)), 0, (VLOOKUP($N65,Veg_Parameters!$A$3:$N$65,9,FALSE))))</f>
        <v>0</v>
      </c>
      <c r="BP65" s="527" t="str">
        <f>IF(ISBLANK(N65),"0",VLOOKUP($N65,Veg_Parameters!$A$4:$U$65,21,))</f>
        <v>0</v>
      </c>
      <c r="BQ65" s="529">
        <f t="shared" si="99"/>
        <v>0</v>
      </c>
      <c r="BR65" s="529">
        <f t="shared" si="100"/>
        <v>0</v>
      </c>
      <c r="BS65" s="529">
        <f t="shared" si="79"/>
        <v>0</v>
      </c>
      <c r="BT65" s="529">
        <f t="shared" si="101"/>
        <v>0</v>
      </c>
      <c r="BU65" s="529">
        <f t="shared" si="102"/>
        <v>0</v>
      </c>
      <c r="BV65" s="529">
        <f t="shared" si="103"/>
        <v>0</v>
      </c>
      <c r="BW65" s="532" t="str">
        <f t="shared" si="80"/>
        <v/>
      </c>
      <c r="BX65" s="532" t="str">
        <f t="shared" si="81"/>
        <v/>
      </c>
      <c r="BY65" s="532" t="str">
        <f t="shared" si="82"/>
        <v/>
      </c>
      <c r="BZ65" s="532" t="str">
        <f t="shared" si="83"/>
        <v/>
      </c>
      <c r="CA65" s="532">
        <f t="shared" si="84"/>
        <v>0</v>
      </c>
      <c r="CB65" s="533"/>
      <c r="CC65" s="624">
        <f t="shared" si="85"/>
        <v>0</v>
      </c>
      <c r="CD65" s="534">
        <f t="shared" si="86"/>
        <v>0</v>
      </c>
      <c r="CE65" s="534">
        <f t="shared" si="87"/>
        <v>0</v>
      </c>
      <c r="CF65" s="534">
        <f t="shared" si="88"/>
        <v>0</v>
      </c>
      <c r="CG65" s="534"/>
      <c r="CH65" s="534"/>
      <c r="CI65" s="534">
        <f t="shared" si="104"/>
        <v>0</v>
      </c>
      <c r="CL65" s="534">
        <f>IF(ISNA(VLOOKUP(I65,Veg_Parameters!$A$3:$N$65,13,FALSE)),0,(VLOOKUP(I65,Veg_Parameters!$A$3:$N$65,13,FALSE)))</f>
        <v>0</v>
      </c>
      <c r="CM65" s="534">
        <f t="shared" si="105"/>
        <v>0</v>
      </c>
      <c r="CN65" s="534">
        <f>IF(ISNA(VLOOKUP(N65,Veg_Parameters!$A$3:$N$65,13,FALSE)),0,(VLOOKUP(N65,Veg_Parameters!$A$3:$N$65,13,FALSE)))</f>
        <v>0</v>
      </c>
      <c r="CO65" s="523">
        <f t="shared" si="106"/>
        <v>0</v>
      </c>
    </row>
    <row r="66" spans="1:93" x14ac:dyDescent="0.2">
      <c r="A66" s="227"/>
      <c r="B66" s="171" t="str">
        <f t="shared" si="107"/>
        <v/>
      </c>
      <c r="C66" s="230"/>
      <c r="D66" s="169"/>
      <c r="E66" s="165"/>
      <c r="F66" s="165"/>
      <c r="G66" s="165"/>
      <c r="H66" s="165"/>
      <c r="I66" s="168"/>
      <c r="J66" s="167"/>
      <c r="K66" s="168"/>
      <c r="L66" s="167"/>
      <c r="M66" s="167"/>
      <c r="N66" s="168"/>
      <c r="O66" s="168"/>
      <c r="P66" s="167"/>
      <c r="Q66" s="167"/>
      <c r="R66" s="167"/>
      <c r="S66" s="222" t="str">
        <f>IF(ISBLANK(A66),"",IF(ISNA(VLOOKUP(I66,Veg_Parameters!$A$3:$N$65,3,FALSE)),0,(VLOOKUP(I66,Veg_Parameters!$A$3:$N$65,3,FALSE))))</f>
        <v/>
      </c>
      <c r="T66" s="222" t="str">
        <f>IF(ISBLANK(N66),"",IF(ISNA(VLOOKUP(N66,Veg_Parameters!$A$3:$N$65,3,FALSE)),0,(VLOOKUP(N66,Veg_Parameters!$A$3:$N$65,3,FALSE))))</f>
        <v/>
      </c>
      <c r="U66" s="523">
        <f t="shared" si="89"/>
        <v>0</v>
      </c>
      <c r="V66" s="523">
        <f t="shared" si="66"/>
        <v>0</v>
      </c>
      <c r="W66" s="524">
        <f>IF(ISBLANK(A66),0,IF(ISNA(VLOOKUP($I66,Veg_Parameters!$A$3:$N$65,10,FALSE)),0,(VLOOKUP($I66,Veg_Parameters!$A$3:$N$65,10,FALSE))))</f>
        <v>0</v>
      </c>
      <c r="X66" s="524">
        <f>IF(ISBLANK(A66),0,IF(ISNA(VLOOKUP($I66,Veg_Parameters!$A$3:$N$65,11,FALSE)),0,(VLOOKUP($I66,Veg_Parameters!$A$3:$N$65,11,FALSE))))</f>
        <v>0</v>
      </c>
      <c r="Y66" s="524">
        <f>IF(ISBLANK(A66),0,IF(ISNA(VLOOKUP($I66,Veg_Parameters!$A$3:$N$65,12,FALSE)),0,(VLOOKUP($I66,Veg_Parameters!$A$3:$N$65,12,FALSE))))</f>
        <v>0</v>
      </c>
      <c r="Z66" s="525">
        <f t="shared" si="1"/>
        <v>0</v>
      </c>
      <c r="AA66" s="525">
        <f t="shared" si="67"/>
        <v>0</v>
      </c>
      <c r="AB66" s="525">
        <f t="shared" si="68"/>
        <v>0</v>
      </c>
      <c r="AC66" s="524">
        <f>IF(ISBLANK(N66),0,IF(ISNA(VLOOKUP($N66,Veg_Parameters!$A$3:$N$65,10,FALSE)),0,(VLOOKUP($N66,Veg_Parameters!$A$3:$N$65,10,FALSE))))</f>
        <v>0</v>
      </c>
      <c r="AD66" s="524">
        <f>IF(ISBLANK(N66),0,IF(ISNA(VLOOKUP($N66,Veg_Parameters!$A$3:$N$65,11,FALSE)),0,(VLOOKUP($N66,Veg_Parameters!$A$3:$N$65,11,FALSE))))</f>
        <v>0</v>
      </c>
      <c r="AE66" s="524">
        <f>IF(ISBLANK(N66), 0, IF(ISNA(VLOOKUP($N66,Veg_Parameters!$A$3:$N$65,12,FALSE)),0,(VLOOKUP($N66,Veg_Parameters!$A$3:$N$65,12,FALSE))))</f>
        <v>0</v>
      </c>
      <c r="AF66" s="523">
        <f t="shared" si="69"/>
        <v>0</v>
      </c>
      <c r="AG66" s="523">
        <f t="shared" si="70"/>
        <v>0</v>
      </c>
      <c r="AH66" s="523">
        <f t="shared" si="71"/>
        <v>0</v>
      </c>
      <c r="AI66" s="526"/>
      <c r="AJ66" s="527">
        <f>AB66*(IF(ISNA(VLOOKUP($I66,Veg_Parameters!$A$3:$N$65,5,FALSE)),0,(VLOOKUP($I66,Veg_Parameters!$A$3:$N$65,5,FALSE))))</f>
        <v>0</v>
      </c>
      <c r="AK66" s="527">
        <f>IF(ISNA(VLOOKUP($I66,Veg_Parameters!$A$3:$N$65,4,FALSE)),0,(VLOOKUP($I66,Veg_Parameters!$A$3:$N$65,4,FALSE)))</f>
        <v>0</v>
      </c>
      <c r="AL66" s="527">
        <f>AB66*(IF(ISNA(VLOOKUP($I66,Veg_Parameters!$A$3:$N$65,7,FALSE)),0, (VLOOKUP($I66,Veg_Parameters!$A$3:$N$65,7,FALSE))))</f>
        <v>0</v>
      </c>
      <c r="AM66" s="528">
        <f>IF(ISNA(VLOOKUP($I66,Veg_Parameters!$A$3:$N$65,6,FALSE)), 0, (VLOOKUP($I66,Veg_Parameters!$A$3:$N$65,6,FALSE)))</f>
        <v>0</v>
      </c>
      <c r="AN66" s="529">
        <f t="shared" si="72"/>
        <v>20</v>
      </c>
      <c r="AO66" s="529">
        <f t="shared" si="73"/>
        <v>0</v>
      </c>
      <c r="AP66" s="529">
        <f t="shared" si="74"/>
        <v>0</v>
      </c>
      <c r="AQ66" s="530">
        <f t="shared" si="90"/>
        <v>0</v>
      </c>
      <c r="AR66" s="527" t="s">
        <v>3</v>
      </c>
      <c r="AS66" s="527">
        <f>IF(ISNA(VLOOKUP($I66,Veg_Parameters!$A$3:$N$65,8,FALSE)), 0, (VLOOKUP($I66,Veg_Parameters!$A$3:$N$65,8,FALSE)))</f>
        <v>0</v>
      </c>
      <c r="AT66" s="527">
        <f>AB66*(IF(ISNA(VLOOKUP($I66,Veg_Parameters!$A$3:$N$65,9,FALSE)), 0, (VLOOKUP($I66,Veg_Parameters!$A$3:$N$65,9,FALSE))))</f>
        <v>0</v>
      </c>
      <c r="AU66" s="527">
        <f>IF(ISBLANK(A66),0,VLOOKUP($I66,Veg_Parameters!$A$4:$U$65,21,))</f>
        <v>0</v>
      </c>
      <c r="AV66" s="527">
        <f t="shared" si="91"/>
        <v>0</v>
      </c>
      <c r="AW66" s="529">
        <f t="shared" si="92"/>
        <v>0</v>
      </c>
      <c r="AX66" s="529">
        <f t="shared" si="93"/>
        <v>0</v>
      </c>
      <c r="AY66" s="529">
        <f t="shared" si="75"/>
        <v>0</v>
      </c>
      <c r="AZ66" s="529">
        <f t="shared" si="94"/>
        <v>0</v>
      </c>
      <c r="BA66" s="529">
        <f t="shared" si="95"/>
        <v>0</v>
      </c>
      <c r="BB66" s="529">
        <f t="shared" si="96"/>
        <v>0</v>
      </c>
      <c r="BC66" s="529">
        <f t="shared" si="76"/>
        <v>0</v>
      </c>
      <c r="BD66" s="531"/>
      <c r="BE66" s="527">
        <f>AH66*(IF(ISNA(VLOOKUP($N66,Veg_Parameters!$A$3:$N$65,5,FALSE)),0,(VLOOKUP($N66,Veg_Parameters!$A$3:$N$65,5,FALSE))))</f>
        <v>0</v>
      </c>
      <c r="BF66" s="527">
        <f>IF(ISNA(VLOOKUP($N66,Veg_Parameters!$A$3:$N$65,4,FALSE)),0,(VLOOKUP($N66,Veg_Parameters!$A$3:$N$65,4,FALSE)))</f>
        <v>0</v>
      </c>
      <c r="BG66" s="527">
        <f>AH66*(IF(ISNA(VLOOKUP($N66,Veg_Parameters!$A$3:$N$65,7,FALSE)),0, (VLOOKUP($N66,Veg_Parameters!$A$3:$N$65,7,FALSE))))</f>
        <v>0</v>
      </c>
      <c r="BH66" s="527">
        <f>IF(ISNA(VLOOKUP($N66,Veg_Parameters!$A$3:$N$65,6,FALSE)), 0, (VLOOKUP($N66,Veg_Parameters!$A$3:$N$65,6,FALSE)))</f>
        <v>0</v>
      </c>
      <c r="BI66" s="529">
        <f t="shared" si="77"/>
        <v>20</v>
      </c>
      <c r="BJ66" s="529">
        <f t="shared" si="97"/>
        <v>0</v>
      </c>
      <c r="BK66" s="529">
        <f t="shared" si="78"/>
        <v>0</v>
      </c>
      <c r="BL66" s="530">
        <f t="shared" si="98"/>
        <v>0</v>
      </c>
      <c r="BM66" s="527" t="s">
        <v>3</v>
      </c>
      <c r="BN66" s="527">
        <f>IF(ISNA(VLOOKUP(N66,Veg_Parameters!$A$3:$N$65,8,FALSE)), 0, (VLOOKUP($N66,Veg_Parameters!$A$3:$N$65,8,FALSE)))</f>
        <v>0</v>
      </c>
      <c r="BO66" s="527">
        <f>AH66*(IF(ISNA(VLOOKUP($N66,Veg_Parameters!$A$3:$N$65,9,FALSE)), 0, (VLOOKUP($N66,Veg_Parameters!$A$3:$N$65,9,FALSE))))</f>
        <v>0</v>
      </c>
      <c r="BP66" s="527" t="str">
        <f>IF(ISBLANK(N66),"0",VLOOKUP($N66,Veg_Parameters!$A$4:$U$65,21,))</f>
        <v>0</v>
      </c>
      <c r="BQ66" s="529">
        <f t="shared" si="99"/>
        <v>0</v>
      </c>
      <c r="BR66" s="529">
        <f t="shared" si="100"/>
        <v>0</v>
      </c>
      <c r="BS66" s="529">
        <f t="shared" si="79"/>
        <v>0</v>
      </c>
      <c r="BT66" s="529">
        <f t="shared" si="101"/>
        <v>0</v>
      </c>
      <c r="BU66" s="529">
        <f t="shared" si="102"/>
        <v>0</v>
      </c>
      <c r="BV66" s="529">
        <f t="shared" si="103"/>
        <v>0</v>
      </c>
      <c r="BW66" s="532" t="str">
        <f t="shared" si="80"/>
        <v/>
      </c>
      <c r="BX66" s="532" t="str">
        <f t="shared" si="81"/>
        <v/>
      </c>
      <c r="BY66" s="532" t="str">
        <f t="shared" si="82"/>
        <v/>
      </c>
      <c r="BZ66" s="532" t="str">
        <f t="shared" si="83"/>
        <v/>
      </c>
      <c r="CA66" s="532">
        <f t="shared" si="84"/>
        <v>0</v>
      </c>
      <c r="CB66" s="533"/>
      <c r="CC66" s="624">
        <f t="shared" si="85"/>
        <v>0</v>
      </c>
      <c r="CD66" s="534">
        <f t="shared" si="86"/>
        <v>0</v>
      </c>
      <c r="CE66" s="534">
        <f t="shared" si="87"/>
        <v>0</v>
      </c>
      <c r="CF66" s="534">
        <f t="shared" si="88"/>
        <v>0</v>
      </c>
      <c r="CG66" s="534"/>
      <c r="CH66" s="534"/>
      <c r="CI66" s="534">
        <f t="shared" si="104"/>
        <v>0</v>
      </c>
      <c r="CL66" s="534">
        <f>IF(ISNA(VLOOKUP(I66,Veg_Parameters!$A$3:$N$65,13,FALSE)),0,(VLOOKUP(I66,Veg_Parameters!$A$3:$N$65,13,FALSE)))</f>
        <v>0</v>
      </c>
      <c r="CM66" s="534">
        <f t="shared" si="105"/>
        <v>0</v>
      </c>
      <c r="CN66" s="534">
        <f>IF(ISNA(VLOOKUP(N66,Veg_Parameters!$A$3:$N$65,13,FALSE)),0,(VLOOKUP(N66,Veg_Parameters!$A$3:$N$65,13,FALSE)))</f>
        <v>0</v>
      </c>
      <c r="CO66" s="523">
        <f t="shared" si="106"/>
        <v>0</v>
      </c>
    </row>
    <row r="67" spans="1:93" ht="13.5" thickBot="1" x14ac:dyDescent="0.25">
      <c r="A67" s="227"/>
      <c r="B67" s="171" t="str">
        <f t="shared" si="107"/>
        <v/>
      </c>
      <c r="C67" s="230"/>
      <c r="D67" s="169"/>
      <c r="E67" s="165"/>
      <c r="F67" s="165"/>
      <c r="G67" s="165"/>
      <c r="H67" s="165"/>
      <c r="I67" s="168"/>
      <c r="J67" s="167"/>
      <c r="K67" s="168"/>
      <c r="L67" s="167"/>
      <c r="M67" s="167"/>
      <c r="N67" s="168"/>
      <c r="O67" s="168"/>
      <c r="P67" s="167"/>
      <c r="Q67" s="167"/>
      <c r="R67" s="167"/>
      <c r="S67" s="222" t="str">
        <f>IF(ISBLANK(A67),"",IF(ISNA(VLOOKUP(I67,Veg_Parameters!$A$3:$N$65,3,FALSE)),0,(VLOOKUP(I67,Veg_Parameters!$A$3:$N$65,3,FALSE))))</f>
        <v/>
      </c>
      <c r="T67" s="222" t="str">
        <f>IF(ISBLANK(N67),"",IF(ISNA(VLOOKUP(N67,Veg_Parameters!$A$3:$N$65,3,FALSE)),0,(VLOOKUP(N67,Veg_Parameters!$A$3:$N$65,3,FALSE))))</f>
        <v/>
      </c>
      <c r="U67" s="523">
        <f t="shared" si="89"/>
        <v>0</v>
      </c>
      <c r="V67" s="523">
        <f t="shared" si="66"/>
        <v>0</v>
      </c>
      <c r="W67" s="524">
        <f>IF(ISBLANK(A67),0,IF(ISNA(VLOOKUP($I67,Veg_Parameters!$A$3:$N$65,10,FALSE)),0,(VLOOKUP($I67,Veg_Parameters!$A$3:$N$65,10,FALSE))))</f>
        <v>0</v>
      </c>
      <c r="X67" s="524">
        <f>IF(ISBLANK(A67),0,IF(ISNA(VLOOKUP($I67,Veg_Parameters!$A$3:$N$65,11,FALSE)),0,(VLOOKUP($I67,Veg_Parameters!$A$3:$N$65,11,FALSE))))</f>
        <v>0</v>
      </c>
      <c r="Y67" s="524">
        <f>IF(ISBLANK(A67),0,IF(ISNA(VLOOKUP($I67,Veg_Parameters!$A$3:$N$65,12,FALSE)),0,(VLOOKUP($I67,Veg_Parameters!$A$3:$N$65,12,FALSE))))</f>
        <v>0</v>
      </c>
      <c r="Z67" s="525">
        <f t="shared" si="1"/>
        <v>0</v>
      </c>
      <c r="AA67" s="525">
        <f t="shared" si="67"/>
        <v>0</v>
      </c>
      <c r="AB67" s="525">
        <f t="shared" si="68"/>
        <v>0</v>
      </c>
      <c r="AC67" s="524">
        <f>IF(ISBLANK(N67),0,IF(ISNA(VLOOKUP($N67,Veg_Parameters!$A$3:$N$65,10,FALSE)),0,(VLOOKUP($N67,Veg_Parameters!$A$3:$N$65,10,FALSE))))</f>
        <v>0</v>
      </c>
      <c r="AD67" s="524">
        <f>IF(ISBLANK(N67),0,IF(ISNA(VLOOKUP($N67,Veg_Parameters!$A$3:$N$65,11,FALSE)),0,(VLOOKUP($N67,Veg_Parameters!$A$3:$N$65,11,FALSE))))</f>
        <v>0</v>
      </c>
      <c r="AE67" s="524">
        <f>IF(ISBLANK(N67), 0, IF(ISNA(VLOOKUP($N67,Veg_Parameters!$A$3:$N$65,12,FALSE)),0,(VLOOKUP($N67,Veg_Parameters!$A$3:$N$65,12,FALSE))))</f>
        <v>0</v>
      </c>
      <c r="AF67" s="523">
        <f t="shared" si="69"/>
        <v>0</v>
      </c>
      <c r="AG67" s="523">
        <f t="shared" si="70"/>
        <v>0</v>
      </c>
      <c r="AH67" s="523">
        <f t="shared" si="71"/>
        <v>0</v>
      </c>
      <c r="AI67" s="526"/>
      <c r="AJ67" s="527">
        <f>AB67*(IF(ISNA(VLOOKUP($I67,Veg_Parameters!$A$3:$N$65,5,FALSE)),0,(VLOOKUP($I67,Veg_Parameters!$A$3:$N$65,5,FALSE))))</f>
        <v>0</v>
      </c>
      <c r="AK67" s="527">
        <f>IF(ISNA(VLOOKUP($I67,Veg_Parameters!$A$3:$N$65,4,FALSE)),0,(VLOOKUP($I67,Veg_Parameters!$A$3:$N$65,4,FALSE)))</f>
        <v>0</v>
      </c>
      <c r="AL67" s="527">
        <f>AB67*(IF(ISNA(VLOOKUP($I67,Veg_Parameters!$A$3:$N$65,7,FALSE)),0, (VLOOKUP($I67,Veg_Parameters!$A$3:$N$65,7,FALSE))))</f>
        <v>0</v>
      </c>
      <c r="AM67" s="528">
        <f>IF(ISNA(VLOOKUP($I67,Veg_Parameters!$A$3:$N$65,6,FALSE)), 0, (VLOOKUP($I67,Veg_Parameters!$A$3:$N$65,6,FALSE)))</f>
        <v>0</v>
      </c>
      <c r="AN67" s="529">
        <f t="shared" si="72"/>
        <v>20</v>
      </c>
      <c r="AO67" s="529">
        <f t="shared" si="73"/>
        <v>0</v>
      </c>
      <c r="AP67" s="529">
        <f t="shared" si="74"/>
        <v>0</v>
      </c>
      <c r="AQ67" s="530">
        <f t="shared" si="90"/>
        <v>0</v>
      </c>
      <c r="AR67" s="527" t="s">
        <v>3</v>
      </c>
      <c r="AS67" s="527">
        <f>IF(ISNA(VLOOKUP($I67,Veg_Parameters!$A$3:$N$65,8,FALSE)), 0, (VLOOKUP($I67,Veg_Parameters!$A$3:$N$65,8,FALSE)))</f>
        <v>0</v>
      </c>
      <c r="AT67" s="527">
        <f>AB67*(IF(ISNA(VLOOKUP($I67,Veg_Parameters!$A$3:$N$65,9,FALSE)), 0, (VLOOKUP($I67,Veg_Parameters!$A$3:$N$65,9,FALSE))))</f>
        <v>0</v>
      </c>
      <c r="AU67" s="527">
        <f>IF(ISBLANK(A67),0,VLOOKUP($I67,Veg_Parameters!$A$4:$U$65,21,))</f>
        <v>0</v>
      </c>
      <c r="AV67" s="527">
        <f t="shared" si="91"/>
        <v>0</v>
      </c>
      <c r="AW67" s="529">
        <f t="shared" si="92"/>
        <v>0</v>
      </c>
      <c r="AX67" s="529">
        <f t="shared" si="93"/>
        <v>0</v>
      </c>
      <c r="AY67" s="529">
        <f t="shared" si="75"/>
        <v>0</v>
      </c>
      <c r="AZ67" s="529">
        <f t="shared" si="94"/>
        <v>0</v>
      </c>
      <c r="BA67" s="529">
        <f t="shared" si="95"/>
        <v>0</v>
      </c>
      <c r="BB67" s="529">
        <f t="shared" si="96"/>
        <v>0</v>
      </c>
      <c r="BC67" s="529">
        <f t="shared" si="76"/>
        <v>0</v>
      </c>
      <c r="BD67" s="531"/>
      <c r="BE67" s="527">
        <f>AH67*(IF(ISNA(VLOOKUP($N67,Veg_Parameters!$A$3:$N$65,5,FALSE)),0,(VLOOKUP($N67,Veg_Parameters!$A$3:$N$65,5,FALSE))))</f>
        <v>0</v>
      </c>
      <c r="BF67" s="527">
        <f>IF(ISNA(VLOOKUP($N67,Veg_Parameters!$A$3:$N$65,4,FALSE)),0,(VLOOKUP($N67,Veg_Parameters!$A$3:$N$65,4,FALSE)))</f>
        <v>0</v>
      </c>
      <c r="BG67" s="527">
        <f>AH67*(IF(ISNA(VLOOKUP($N67,Veg_Parameters!$A$3:$N$65,7,FALSE)),0, (VLOOKUP($N67,Veg_Parameters!$A$3:$N$65,7,FALSE))))</f>
        <v>0</v>
      </c>
      <c r="BH67" s="527">
        <f>IF(ISNA(VLOOKUP($N67,Veg_Parameters!$A$3:$N$65,6,FALSE)), 0, (VLOOKUP($N67,Veg_Parameters!$A$3:$N$65,6,FALSE)))</f>
        <v>0</v>
      </c>
      <c r="BI67" s="529">
        <f t="shared" si="77"/>
        <v>20</v>
      </c>
      <c r="BJ67" s="529">
        <f t="shared" si="97"/>
        <v>0</v>
      </c>
      <c r="BK67" s="529">
        <f t="shared" si="78"/>
        <v>0</v>
      </c>
      <c r="BL67" s="530">
        <f t="shared" si="98"/>
        <v>0</v>
      </c>
      <c r="BM67" s="527" t="s">
        <v>3</v>
      </c>
      <c r="BN67" s="527">
        <f>IF(ISNA(VLOOKUP(N67,Veg_Parameters!$A$3:$N$65,8,FALSE)), 0, (VLOOKUP($N67,Veg_Parameters!$A$3:$N$65,8,FALSE)))</f>
        <v>0</v>
      </c>
      <c r="BO67" s="527">
        <f>AH67*(IF(ISNA(VLOOKUP($N67,Veg_Parameters!$A$3:$N$65,9,FALSE)), 0, (VLOOKUP($N67,Veg_Parameters!$A$3:$N$65,9,FALSE))))</f>
        <v>0</v>
      </c>
      <c r="BP67" s="527" t="str">
        <f>IF(ISBLANK(N67),"0",VLOOKUP($N67,Veg_Parameters!$A$4:$U$65,21,))</f>
        <v>0</v>
      </c>
      <c r="BQ67" s="529">
        <f t="shared" si="99"/>
        <v>0</v>
      </c>
      <c r="BR67" s="529">
        <f t="shared" si="100"/>
        <v>0</v>
      </c>
      <c r="BS67" s="529">
        <f t="shared" si="79"/>
        <v>0</v>
      </c>
      <c r="BT67" s="529">
        <f t="shared" si="101"/>
        <v>0</v>
      </c>
      <c r="BU67" s="529">
        <f t="shared" si="102"/>
        <v>0</v>
      </c>
      <c r="BV67" s="529">
        <f t="shared" si="103"/>
        <v>0</v>
      </c>
      <c r="BW67" s="532" t="str">
        <f t="shared" si="80"/>
        <v/>
      </c>
      <c r="BX67" s="532" t="str">
        <f t="shared" si="81"/>
        <v/>
      </c>
      <c r="BY67" s="532" t="str">
        <f t="shared" si="82"/>
        <v/>
      </c>
      <c r="BZ67" s="532" t="str">
        <f t="shared" si="83"/>
        <v/>
      </c>
      <c r="CA67" s="532">
        <f t="shared" si="84"/>
        <v>0</v>
      </c>
      <c r="CB67" s="533"/>
      <c r="CC67" s="624">
        <f t="shared" si="85"/>
        <v>0</v>
      </c>
      <c r="CD67" s="534">
        <f t="shared" si="86"/>
        <v>0</v>
      </c>
      <c r="CE67" s="534">
        <f t="shared" si="87"/>
        <v>0</v>
      </c>
      <c r="CF67" s="534">
        <f t="shared" si="88"/>
        <v>0</v>
      </c>
      <c r="CG67" s="534"/>
      <c r="CH67" s="534"/>
      <c r="CI67" s="534">
        <f t="shared" si="104"/>
        <v>0</v>
      </c>
      <c r="CL67" s="534">
        <f>IF(ISNA(VLOOKUP(I67,Veg_Parameters!$A$3:$N$65,13,FALSE)),0,(VLOOKUP(I67,Veg_Parameters!$A$3:$N$65,13,FALSE)))</f>
        <v>0</v>
      </c>
      <c r="CM67" s="534">
        <f t="shared" si="105"/>
        <v>0</v>
      </c>
      <c r="CN67" s="534">
        <f>IF(ISNA(VLOOKUP(N67,Veg_Parameters!$A$3:$N$65,13,FALSE)),0,(VLOOKUP(N67,Veg_Parameters!$A$3:$N$65,13,FALSE)))</f>
        <v>0</v>
      </c>
      <c r="CO67" s="523">
        <f t="shared" si="106"/>
        <v>0</v>
      </c>
    </row>
    <row r="68" spans="1:93" s="11" customFormat="1" ht="13.5" thickBot="1" x14ac:dyDescent="0.25">
      <c r="A68" s="189" t="s">
        <v>70</v>
      </c>
      <c r="B68" s="189" t="str">
        <f>IF(ISBLANK(B43),"",B43)</f>
        <v/>
      </c>
      <c r="C68" s="189"/>
      <c r="D68" s="189"/>
      <c r="E68" s="189"/>
      <c r="F68" s="189"/>
      <c r="G68" s="189" t="str">
        <f>IFERROR((SUMPRODUCT($U43:$U67,G43:G67))/(100*$U68),"")</f>
        <v/>
      </c>
      <c r="H68" s="189" t="str">
        <f>IFERROR((SUMPRODUCT($U43:$U67,H43:H67))/(100*$U68),"")</f>
        <v/>
      </c>
      <c r="I68" s="189"/>
      <c r="J68" s="189"/>
      <c r="K68" s="189"/>
      <c r="L68" s="189"/>
      <c r="M68" s="189" t="s">
        <v>27</v>
      </c>
      <c r="N68" s="189"/>
      <c r="O68" s="189"/>
      <c r="P68" s="189"/>
      <c r="Q68" s="189"/>
      <c r="R68" s="189" t="s">
        <v>27</v>
      </c>
      <c r="S68" s="91"/>
      <c r="T68" s="91"/>
      <c r="U68" s="535">
        <f>+SUM(U43:U67)</f>
        <v>0</v>
      </c>
      <c r="V68" s="535" t="str">
        <f>IF(ISERROR(SUMPRODUCT(U43:U67, V43:V67)/U68)," ", (SUMPRODUCT(U43:U67, V43:V67)/U68))</f>
        <v xml:space="preserve"> </v>
      </c>
      <c r="W68" s="535"/>
      <c r="X68" s="535"/>
      <c r="Y68" s="535"/>
      <c r="Z68" s="535"/>
      <c r="AA68" s="535"/>
      <c r="AB68" s="535"/>
      <c r="AC68" s="535"/>
      <c r="AD68" s="535"/>
      <c r="AE68" s="535"/>
      <c r="AF68" s="535"/>
      <c r="AG68" s="535"/>
      <c r="AH68" s="535"/>
      <c r="AI68" s="149"/>
      <c r="AJ68" s="544"/>
      <c r="AK68" s="544"/>
      <c r="AL68" s="539"/>
      <c r="AM68" s="539"/>
      <c r="AN68" s="539"/>
      <c r="AO68" s="544"/>
      <c r="AP68" s="544">
        <f>MAX(AP43:AP67)</f>
        <v>0</v>
      </c>
      <c r="AQ68" s="544" t="s">
        <v>27</v>
      </c>
      <c r="AR68" s="544"/>
      <c r="AS68" s="544"/>
      <c r="AT68" s="544"/>
      <c r="AU68" s="544"/>
      <c r="AV68" s="544">
        <f>SUM(AV43:AV67)</f>
        <v>0</v>
      </c>
      <c r="AW68" s="544"/>
      <c r="AX68" s="544"/>
      <c r="AY68" s="544"/>
      <c r="AZ68" s="544"/>
      <c r="BA68" s="544"/>
      <c r="BB68" s="544"/>
      <c r="BC68" s="544"/>
      <c r="BD68" s="544"/>
      <c r="BE68" s="544"/>
      <c r="BF68" s="544"/>
      <c r="BG68" s="539"/>
      <c r="BH68" s="539"/>
      <c r="BI68" s="539"/>
      <c r="BJ68" s="544"/>
      <c r="BK68" s="544">
        <f>MAX(BK43:BK67)</f>
        <v>0</v>
      </c>
      <c r="BL68" s="544"/>
      <c r="BM68" s="544"/>
      <c r="BN68" s="544"/>
      <c r="BO68" s="544"/>
      <c r="BP68" s="544"/>
      <c r="BQ68" s="544"/>
      <c r="BR68" s="544"/>
      <c r="BS68" s="544"/>
      <c r="BT68" s="544"/>
      <c r="BU68" s="544"/>
      <c r="BV68" s="544"/>
      <c r="BW68" s="615">
        <f>IFERROR(SUM(IF(FREQUENCY(BW43:BW67,BW43:BW67)&gt;0,1)),"")</f>
        <v>0</v>
      </c>
      <c r="BX68" s="615">
        <f>SUM(IF(FREQUENCY(BX43:BX67,BX43:BX67)&gt;0,1))</f>
        <v>0</v>
      </c>
      <c r="BY68" s="615">
        <f>SUM(IF(FREQUENCY(BY43:BY67,BY43:BY67)&gt;0,1))</f>
        <v>0</v>
      </c>
      <c r="BZ68" s="615">
        <f>SUM(IF(FREQUENCY(BZ43:BZ67,BZ43:BZ67)&gt;0,1))</f>
        <v>0</v>
      </c>
      <c r="CA68" s="546"/>
      <c r="CB68" s="547"/>
      <c r="CC68" s="625" t="str">
        <f>+IFERROR(((SUM(CC43:CC67))/$U68),"")</f>
        <v/>
      </c>
      <c r="CD68" s="548" t="str">
        <f>+IFERROR(((SUM(CD43:CD67))/$U68),"")</f>
        <v/>
      </c>
      <c r="CE68" s="548" t="str">
        <f>+IF(ISERROR((SUM(CE43:CE67))/$U68), "", ((SUM(CE43:CE67))/$U68))</f>
        <v/>
      </c>
      <c r="CF68" s="549" t="str">
        <f>IFERROR(((SUM(CF43:CF67))/$U68),"")</f>
        <v/>
      </c>
      <c r="CG68" s="616">
        <f>IFERROR(SUM(IF(FREQUENCY(BW43:BX67,BW43:BX67)&gt;0,1)),"")</f>
        <v>0</v>
      </c>
      <c r="CH68" s="617">
        <f>IFERROR(SUM(IF(FREQUENCY(BY43:BZ67,BY43:BZ67)&gt;0,1)),"")</f>
        <v>0</v>
      </c>
      <c r="CI68" s="552">
        <f>+SUM(CI43:CI67)</f>
        <v>0</v>
      </c>
      <c r="CJ68" s="618"/>
      <c r="CK68" s="618"/>
      <c r="CL68" s="618"/>
      <c r="CM68" s="618"/>
      <c r="CN68" s="618"/>
      <c r="CO68" s="619"/>
    </row>
    <row r="69" spans="1:93" ht="36.75" customHeight="1" thickBot="1" x14ac:dyDescent="0.25">
      <c r="A69" s="219"/>
      <c r="B69" s="48"/>
      <c r="C69" s="219"/>
      <c r="D69" s="49"/>
      <c r="E69" s="49"/>
      <c r="F69" s="49"/>
      <c r="G69" s="49"/>
      <c r="H69" s="49"/>
      <c r="I69" s="49"/>
      <c r="J69" s="49"/>
      <c r="K69" s="49"/>
      <c r="L69" s="49"/>
      <c r="M69" s="49"/>
      <c r="N69" s="49"/>
      <c r="O69" s="49"/>
      <c r="P69" s="49"/>
      <c r="Q69" s="49"/>
      <c r="R69" s="49"/>
      <c r="S69" s="219"/>
      <c r="T69" s="219"/>
      <c r="U69" s="554"/>
      <c r="V69" s="554"/>
      <c r="W69" s="490"/>
      <c r="X69" s="490"/>
      <c r="Y69" s="490"/>
      <c r="Z69" s="490"/>
      <c r="AA69" s="490"/>
      <c r="AB69" s="490"/>
      <c r="AC69" s="490"/>
      <c r="AD69" s="490"/>
      <c r="AE69" s="490"/>
      <c r="AF69" s="491"/>
      <c r="AG69" s="491"/>
      <c r="AH69" s="491"/>
      <c r="AI69" s="104"/>
      <c r="AJ69" s="477"/>
      <c r="AK69" s="477"/>
      <c r="AL69" s="477"/>
      <c r="AM69" s="477"/>
      <c r="AN69" s="477"/>
      <c r="AO69" s="477"/>
      <c r="AP69" s="477"/>
      <c r="AQ69" s="477"/>
      <c r="AR69" s="477"/>
      <c r="AS69" s="477"/>
      <c r="AT69" s="477"/>
      <c r="AU69" s="477"/>
      <c r="AV69" s="477"/>
      <c r="AW69" s="477"/>
      <c r="AX69" s="477"/>
      <c r="AY69" s="563"/>
      <c r="AZ69" s="564"/>
      <c r="BA69" s="564"/>
      <c r="BB69" s="564"/>
      <c r="BC69" s="564"/>
      <c r="BD69" s="477"/>
      <c r="BE69" s="477"/>
      <c r="BF69" s="477"/>
      <c r="BG69" s="477"/>
      <c r="BH69" s="477"/>
      <c r="BI69" s="477"/>
      <c r="BJ69" s="477"/>
      <c r="BK69" s="477"/>
      <c r="BL69" s="477"/>
      <c r="BM69" s="477"/>
      <c r="BN69" s="477"/>
      <c r="BO69" s="477"/>
      <c r="BP69" s="477"/>
      <c r="BQ69" s="477"/>
      <c r="BR69" s="477"/>
      <c r="BS69" s="290"/>
      <c r="BT69" s="104"/>
      <c r="BU69" s="104"/>
      <c r="BV69" s="104"/>
      <c r="BW69" s="555"/>
      <c r="BX69" s="555"/>
      <c r="BY69" s="555"/>
      <c r="BZ69" s="555"/>
      <c r="CA69" s="473"/>
      <c r="CB69" s="492"/>
      <c r="CC69" s="1164" t="s">
        <v>393</v>
      </c>
      <c r="CD69" s="1165"/>
      <c r="CE69" s="1165"/>
      <c r="CF69" s="1166"/>
      <c r="CG69" s="1162" t="s">
        <v>560</v>
      </c>
      <c r="CH69" s="1163"/>
      <c r="CI69" s="556" t="s">
        <v>553</v>
      </c>
    </row>
    <row r="70" spans="1:93" s="121" customFormat="1" x14ac:dyDescent="0.2">
      <c r="A70" s="224" t="s">
        <v>399</v>
      </c>
      <c r="B70" s="119"/>
      <c r="C70" s="224"/>
      <c r="D70" s="120"/>
      <c r="E70" s="120"/>
      <c r="F70" s="120"/>
      <c r="G70" s="120"/>
      <c r="H70" s="120"/>
      <c r="I70" s="120"/>
      <c r="J70" s="120"/>
      <c r="K70" s="120"/>
      <c r="L70" s="113"/>
      <c r="M70" s="120"/>
      <c r="N70" s="120"/>
      <c r="O70" s="120"/>
      <c r="P70" s="113"/>
      <c r="Q70" s="120"/>
      <c r="R70" s="120"/>
      <c r="S70" s="224"/>
      <c r="T70" s="224"/>
      <c r="U70" s="557"/>
      <c r="V70" s="557"/>
      <c r="W70" s="558"/>
      <c r="X70" s="558"/>
      <c r="Y70" s="558"/>
      <c r="Z70" s="558"/>
      <c r="AA70" s="558"/>
      <c r="AB70" s="558"/>
      <c r="AC70" s="558"/>
      <c r="AD70" s="558"/>
      <c r="AE70" s="558"/>
      <c r="AF70" s="559"/>
      <c r="AG70" s="559"/>
      <c r="AH70" s="559"/>
      <c r="AI70" s="104"/>
      <c r="AJ70" s="559"/>
      <c r="AK70" s="559"/>
      <c r="AL70" s="559"/>
      <c r="AM70" s="559"/>
      <c r="AN70" s="559"/>
      <c r="AO70" s="559"/>
      <c r="AP70" s="559"/>
      <c r="AQ70" s="559"/>
      <c r="AR70" s="559"/>
      <c r="AS70" s="559"/>
      <c r="AT70" s="559"/>
      <c r="AU70" s="559"/>
      <c r="AV70" s="559"/>
      <c r="AW70" s="559"/>
      <c r="AX70" s="559"/>
      <c r="AY70" s="559"/>
      <c r="AZ70" s="559"/>
      <c r="BA70" s="559"/>
      <c r="BB70" s="559"/>
      <c r="BC70" s="559"/>
      <c r="BD70" s="559"/>
      <c r="BE70" s="559"/>
      <c r="BF70" s="559"/>
      <c r="BG70" s="559"/>
      <c r="BH70" s="559"/>
      <c r="BI70" s="559"/>
      <c r="BJ70" s="559"/>
      <c r="BK70" s="559"/>
      <c r="BL70" s="559"/>
      <c r="BM70" s="559"/>
      <c r="BN70" s="559"/>
      <c r="BO70" s="559"/>
      <c r="BP70" s="559"/>
      <c r="BQ70" s="559"/>
      <c r="BR70" s="559"/>
      <c r="BS70" s="559"/>
      <c r="BT70" s="559"/>
      <c r="BU70" s="559"/>
      <c r="BV70" s="559"/>
      <c r="BW70" s="475"/>
      <c r="BX70" s="475"/>
      <c r="BY70" s="475"/>
      <c r="BZ70" s="475"/>
      <c r="CA70" s="475"/>
      <c r="CB70" s="475"/>
      <c r="CC70" s="626"/>
      <c r="CD70" s="560"/>
      <c r="CE70" s="560"/>
      <c r="CF70" s="560"/>
      <c r="CG70" s="560"/>
      <c r="CH70" s="560"/>
      <c r="CI70" s="560"/>
      <c r="CJ70" s="560"/>
      <c r="CK70" s="560"/>
      <c r="CL70" s="560"/>
      <c r="CM70" s="560"/>
      <c r="CN70" s="560"/>
      <c r="CO70" s="561"/>
    </row>
    <row r="71" spans="1:93" s="183" customFormat="1" ht="93" customHeight="1" x14ac:dyDescent="0.2">
      <c r="A71" s="228" t="s">
        <v>73</v>
      </c>
      <c r="B71" s="184" t="s">
        <v>421</v>
      </c>
      <c r="C71" s="293" t="s">
        <v>114</v>
      </c>
      <c r="D71" s="173" t="s">
        <v>53</v>
      </c>
      <c r="E71" s="173" t="s">
        <v>499</v>
      </c>
      <c r="F71" s="173" t="s">
        <v>394</v>
      </c>
      <c r="G71" s="173" t="s">
        <v>242</v>
      </c>
      <c r="H71" s="173" t="s">
        <v>563</v>
      </c>
      <c r="I71" s="173" t="s">
        <v>236</v>
      </c>
      <c r="J71" s="173" t="s">
        <v>240</v>
      </c>
      <c r="K71" s="173" t="s">
        <v>238</v>
      </c>
      <c r="L71" s="173" t="s">
        <v>554</v>
      </c>
      <c r="M71" s="173" t="s">
        <v>241</v>
      </c>
      <c r="N71" s="173" t="s">
        <v>237</v>
      </c>
      <c r="O71" s="173" t="s">
        <v>243</v>
      </c>
      <c r="P71" s="173" t="s">
        <v>239</v>
      </c>
      <c r="Q71" s="173" t="s">
        <v>555</v>
      </c>
      <c r="R71" s="173" t="s">
        <v>244</v>
      </c>
      <c r="S71" s="220" t="s">
        <v>245</v>
      </c>
      <c r="T71" s="220" t="s">
        <v>256</v>
      </c>
      <c r="U71" s="500" t="s">
        <v>53</v>
      </c>
      <c r="V71" s="500" t="s">
        <v>396</v>
      </c>
      <c r="W71" s="501" t="s">
        <v>508</v>
      </c>
      <c r="X71" s="501" t="s">
        <v>509</v>
      </c>
      <c r="Y71" s="501" t="s">
        <v>510</v>
      </c>
      <c r="Z71" s="501" t="s">
        <v>512</v>
      </c>
      <c r="AA71" s="501" t="s">
        <v>513</v>
      </c>
      <c r="AB71" s="501" t="s">
        <v>514</v>
      </c>
      <c r="AC71" s="501" t="s">
        <v>506</v>
      </c>
      <c r="AD71" s="501" t="s">
        <v>507</v>
      </c>
      <c r="AE71" s="501" t="s">
        <v>511</v>
      </c>
      <c r="AF71" s="501" t="s">
        <v>503</v>
      </c>
      <c r="AG71" s="501" t="s">
        <v>504</v>
      </c>
      <c r="AH71" s="501" t="s">
        <v>505</v>
      </c>
      <c r="AI71" s="502"/>
      <c r="AJ71" s="502" t="s">
        <v>246</v>
      </c>
      <c r="AK71" s="502" t="s">
        <v>247</v>
      </c>
      <c r="AL71" s="503" t="s">
        <v>248</v>
      </c>
      <c r="AM71" s="503" t="s">
        <v>249</v>
      </c>
      <c r="AN71" s="504" t="s">
        <v>250</v>
      </c>
      <c r="AO71" s="502" t="s">
        <v>270</v>
      </c>
      <c r="AP71" s="502" t="s">
        <v>271</v>
      </c>
      <c r="AQ71" s="503" t="s">
        <v>251</v>
      </c>
      <c r="AR71" s="503" t="s">
        <v>14</v>
      </c>
      <c r="AS71" s="503" t="s">
        <v>252</v>
      </c>
      <c r="AT71" s="503" t="s">
        <v>253</v>
      </c>
      <c r="AU71" s="503" t="s">
        <v>579</v>
      </c>
      <c r="AV71" s="503" t="s">
        <v>578</v>
      </c>
      <c r="AW71" s="503" t="s">
        <v>254</v>
      </c>
      <c r="AX71" s="503" t="s">
        <v>255</v>
      </c>
      <c r="AY71" s="503" t="s">
        <v>391</v>
      </c>
      <c r="AZ71" s="503" t="s">
        <v>267</v>
      </c>
      <c r="BA71" s="503" t="s">
        <v>272</v>
      </c>
      <c r="BB71" s="503" t="s">
        <v>273</v>
      </c>
      <c r="BC71" s="502" t="s">
        <v>539</v>
      </c>
      <c r="BD71" s="503"/>
      <c r="BE71" s="502" t="s">
        <v>257</v>
      </c>
      <c r="BF71" s="502" t="s">
        <v>258</v>
      </c>
      <c r="BG71" s="503" t="s">
        <v>259</v>
      </c>
      <c r="BH71" s="503" t="s">
        <v>260</v>
      </c>
      <c r="BI71" s="504" t="s">
        <v>261</v>
      </c>
      <c r="BJ71" s="502" t="s">
        <v>275</v>
      </c>
      <c r="BK71" s="502" t="s">
        <v>274</v>
      </c>
      <c r="BL71" s="503" t="s">
        <v>262</v>
      </c>
      <c r="BM71" s="503" t="s">
        <v>14</v>
      </c>
      <c r="BN71" s="503" t="s">
        <v>263</v>
      </c>
      <c r="BO71" s="503" t="s">
        <v>264</v>
      </c>
      <c r="BP71" s="503" t="s">
        <v>542</v>
      </c>
      <c r="BQ71" s="503" t="s">
        <v>265</v>
      </c>
      <c r="BR71" s="503" t="s">
        <v>266</v>
      </c>
      <c r="BS71" s="503" t="s">
        <v>392</v>
      </c>
      <c r="BT71" s="503" t="s">
        <v>276</v>
      </c>
      <c r="BU71" s="503" t="s">
        <v>277</v>
      </c>
      <c r="BV71" s="503" t="s">
        <v>278</v>
      </c>
      <c r="BW71" s="503" t="s">
        <v>556</v>
      </c>
      <c r="BX71" s="503" t="s">
        <v>559</v>
      </c>
      <c r="BY71" s="503" t="s">
        <v>557</v>
      </c>
      <c r="BZ71" s="503" t="s">
        <v>558</v>
      </c>
      <c r="CA71" s="505" t="s">
        <v>543</v>
      </c>
      <c r="CB71" s="506"/>
      <c r="CC71" s="622" t="s">
        <v>279</v>
      </c>
      <c r="CD71" s="506" t="s">
        <v>280</v>
      </c>
      <c r="CE71" s="506" t="s">
        <v>281</v>
      </c>
      <c r="CF71" s="506" t="s">
        <v>282</v>
      </c>
      <c r="CG71" s="506" t="s">
        <v>283</v>
      </c>
      <c r="CH71" s="506" t="s">
        <v>284</v>
      </c>
      <c r="CI71" s="506" t="s">
        <v>545</v>
      </c>
      <c r="CJ71" s="507"/>
      <c r="CK71" s="507"/>
      <c r="CL71" s="506" t="s">
        <v>422</v>
      </c>
      <c r="CM71" s="506" t="s">
        <v>516</v>
      </c>
      <c r="CN71" s="506" t="s">
        <v>423</v>
      </c>
      <c r="CO71" s="508" t="s">
        <v>517</v>
      </c>
    </row>
    <row r="72" spans="1:93" s="16" customFormat="1" ht="27" customHeight="1" x14ac:dyDescent="0.2">
      <c r="A72" s="229" t="s">
        <v>5</v>
      </c>
      <c r="B72" s="185" t="s">
        <v>28</v>
      </c>
      <c r="C72" s="294" t="s">
        <v>5</v>
      </c>
      <c r="D72" s="174" t="s">
        <v>119</v>
      </c>
      <c r="E72" s="174" t="s">
        <v>498</v>
      </c>
      <c r="F72" s="174" t="s">
        <v>268</v>
      </c>
      <c r="G72" s="174" t="s">
        <v>60</v>
      </c>
      <c r="H72" s="174"/>
      <c r="I72" s="174" t="s">
        <v>28</v>
      </c>
      <c r="J72" s="174" t="s">
        <v>15</v>
      </c>
      <c r="K72" s="174" t="s">
        <v>269</v>
      </c>
      <c r="L72" s="174" t="s">
        <v>61</v>
      </c>
      <c r="M72" s="174" t="s">
        <v>5</v>
      </c>
      <c r="N72" s="174" t="s">
        <v>28</v>
      </c>
      <c r="O72" s="174" t="s">
        <v>15</v>
      </c>
      <c r="P72" s="174" t="s">
        <v>269</v>
      </c>
      <c r="Q72" s="174" t="s">
        <v>61</v>
      </c>
      <c r="R72" s="174" t="s">
        <v>5</v>
      </c>
      <c r="S72" s="221" t="s">
        <v>16</v>
      </c>
      <c r="T72" s="221" t="s">
        <v>16</v>
      </c>
      <c r="U72" s="509" t="s">
        <v>59</v>
      </c>
      <c r="V72" s="509" t="s">
        <v>5</v>
      </c>
      <c r="W72" s="510" t="s">
        <v>60</v>
      </c>
      <c r="X72" s="510" t="s">
        <v>60</v>
      </c>
      <c r="Y72" s="510" t="s">
        <v>60</v>
      </c>
      <c r="Z72" s="511" t="s">
        <v>60</v>
      </c>
      <c r="AA72" s="511" t="s">
        <v>60</v>
      </c>
      <c r="AB72" s="511" t="s">
        <v>60</v>
      </c>
      <c r="AC72" s="510" t="s">
        <v>60</v>
      </c>
      <c r="AD72" s="510" t="s">
        <v>60</v>
      </c>
      <c r="AE72" s="510"/>
      <c r="AF72" s="511" t="s">
        <v>60</v>
      </c>
      <c r="AG72" s="511" t="s">
        <v>60</v>
      </c>
      <c r="AH72" s="511" t="s">
        <v>60</v>
      </c>
      <c r="AI72" s="512"/>
      <c r="AJ72" s="512" t="s">
        <v>17</v>
      </c>
      <c r="AK72" s="512" t="s">
        <v>18</v>
      </c>
      <c r="AL72" s="513" t="s">
        <v>51</v>
      </c>
      <c r="AM72" s="514" t="s">
        <v>60</v>
      </c>
      <c r="AN72" s="515" t="s">
        <v>52</v>
      </c>
      <c r="AO72" s="516" t="s">
        <v>18</v>
      </c>
      <c r="AP72" s="516" t="s">
        <v>18</v>
      </c>
      <c r="AQ72" s="517" t="s">
        <v>60</v>
      </c>
      <c r="AR72" s="517" t="s">
        <v>18</v>
      </c>
      <c r="AS72" s="517" t="s">
        <v>18</v>
      </c>
      <c r="AT72" s="517" t="s">
        <v>17</v>
      </c>
      <c r="AU72" s="517" t="s">
        <v>538</v>
      </c>
      <c r="AV72" s="517" t="s">
        <v>59</v>
      </c>
      <c r="AW72" s="517" t="s">
        <v>18</v>
      </c>
      <c r="AX72" s="517" t="s">
        <v>59</v>
      </c>
      <c r="AY72" s="517" t="s">
        <v>59</v>
      </c>
      <c r="AZ72" s="517" t="s">
        <v>59</v>
      </c>
      <c r="BA72" s="517" t="s">
        <v>59</v>
      </c>
      <c r="BB72" s="517" t="s">
        <v>59</v>
      </c>
      <c r="BC72" s="512" t="s">
        <v>59</v>
      </c>
      <c r="BD72" s="518"/>
      <c r="BE72" s="512" t="s">
        <v>17</v>
      </c>
      <c r="BF72" s="512" t="s">
        <v>18</v>
      </c>
      <c r="BG72" s="513" t="s">
        <v>51</v>
      </c>
      <c r="BH72" s="514" t="s">
        <v>60</v>
      </c>
      <c r="BI72" s="515" t="s">
        <v>52</v>
      </c>
      <c r="BJ72" s="516" t="s">
        <v>18</v>
      </c>
      <c r="BK72" s="516" t="s">
        <v>18</v>
      </c>
      <c r="BL72" s="517" t="s">
        <v>60</v>
      </c>
      <c r="BM72" s="517" t="s">
        <v>18</v>
      </c>
      <c r="BN72" s="517" t="s">
        <v>18</v>
      </c>
      <c r="BO72" s="517" t="s">
        <v>17</v>
      </c>
      <c r="BP72" s="517" t="s">
        <v>538</v>
      </c>
      <c r="BQ72" s="517" t="s">
        <v>18</v>
      </c>
      <c r="BR72" s="517" t="s">
        <v>59</v>
      </c>
      <c r="BS72" s="517" t="s">
        <v>59</v>
      </c>
      <c r="BT72" s="517" t="s">
        <v>59</v>
      </c>
      <c r="BU72" s="517" t="s">
        <v>59</v>
      </c>
      <c r="BV72" s="517" t="s">
        <v>59</v>
      </c>
      <c r="BW72" s="519" t="s">
        <v>386</v>
      </c>
      <c r="BX72" s="519" t="s">
        <v>386</v>
      </c>
      <c r="BY72" s="519" t="s">
        <v>387</v>
      </c>
      <c r="BZ72" s="519" t="s">
        <v>387</v>
      </c>
      <c r="CA72" s="519" t="s">
        <v>59</v>
      </c>
      <c r="CB72" s="520"/>
      <c r="CC72" s="623" t="s">
        <v>59</v>
      </c>
      <c r="CD72" s="520" t="s">
        <v>59</v>
      </c>
      <c r="CE72" s="520" t="s">
        <v>59</v>
      </c>
      <c r="CF72" s="520" t="s">
        <v>59</v>
      </c>
      <c r="CG72" s="520" t="s">
        <v>386</v>
      </c>
      <c r="CH72" s="520" t="s">
        <v>387</v>
      </c>
      <c r="CI72" s="520" t="s">
        <v>59</v>
      </c>
      <c r="CJ72" s="521"/>
      <c r="CK72" s="521"/>
      <c r="CL72" s="520" t="s">
        <v>28</v>
      </c>
      <c r="CM72" s="520" t="s">
        <v>59</v>
      </c>
      <c r="CN72" s="520" t="s">
        <v>28</v>
      </c>
      <c r="CO72" s="522" t="s">
        <v>59</v>
      </c>
    </row>
    <row r="73" spans="1:93" x14ac:dyDescent="0.2">
      <c r="A73" s="230"/>
      <c r="B73" s="164"/>
      <c r="C73" s="230"/>
      <c r="D73" s="169"/>
      <c r="E73" s="165"/>
      <c r="F73" s="165"/>
      <c r="G73" s="165"/>
      <c r="H73" s="165"/>
      <c r="I73" s="166"/>
      <c r="J73" s="167"/>
      <c r="K73" s="166"/>
      <c r="L73" s="166"/>
      <c r="M73" s="167"/>
      <c r="N73" s="166"/>
      <c r="O73" s="166"/>
      <c r="P73" s="166"/>
      <c r="Q73" s="167"/>
      <c r="R73" s="167"/>
      <c r="S73" s="222" t="str">
        <f>IF(ISBLANK(A73),"",IF(ISNA(VLOOKUP(I73,Veg_Parameters!$A$3:$N$65,3,FALSE)),0,(VLOOKUP(I73,Veg_Parameters!$A$3:$N$65,3,FALSE))))</f>
        <v/>
      </c>
      <c r="T73" s="222" t="str">
        <f>IF(ISBLANK(N73),"",IF(ISNA(VLOOKUP(N73,Veg_Parameters!$A$3:$N$65,3,FALSE)),0,(VLOOKUP(N73,Veg_Parameters!$A$3:$N$65,3,FALSE))))</f>
        <v/>
      </c>
      <c r="U73" s="523">
        <f>IF(ISBLANK(A73),0,0.092903*D73)</f>
        <v>0</v>
      </c>
      <c r="V73" s="523">
        <f t="shared" ref="V73:V97" si="108">IF(ISBLANK(A73),0, IF(F73="H", 5, IF(F73="M", 3, IF(F73="L", 1.5, 0))))</f>
        <v>0</v>
      </c>
      <c r="W73" s="524">
        <f>IF(ISBLANK(A73),0,IF(ISNA(VLOOKUP($I73,Veg_Parameters!$A$3:$N$65,10,FALSE)),0,(VLOOKUP($I73,Veg_Parameters!$A$3:$N$65,10,FALSE))))</f>
        <v>0</v>
      </c>
      <c r="X73" s="524">
        <f>IF(ISBLANK(A73),0,IF(ISNA(VLOOKUP($I73,Veg_Parameters!$A$3:$N$65,11,FALSE)),0,(VLOOKUP($I73,Veg_Parameters!$A$3:$N$65,11,FALSE))))</f>
        <v>0</v>
      </c>
      <c r="Y73" s="524">
        <f>IF(ISBLANK(A73),0,IF(ISNA(VLOOKUP($I73,Veg_Parameters!$A$3:$N$65,12,FALSE)),0,(VLOOKUP($I73,Veg_Parameters!$A$3:$N$65,12,FALSE))))</f>
        <v>0</v>
      </c>
      <c r="Z73" s="525">
        <f t="shared" si="1"/>
        <v>0</v>
      </c>
      <c r="AA73" s="525">
        <f t="shared" ref="AA73:AA97" si="109">IF(ISBLANK(E73), 0, IF($O$9="L", $Y73, IF($O$9 = "H", 1, IF($O$9="M", 0.8, " "))))</f>
        <v>0</v>
      </c>
      <c r="AB73" s="525">
        <f t="shared" ref="AB73:AB97" si="110">IF(I73&gt;0, Z73*AA73, 0)</f>
        <v>0</v>
      </c>
      <c r="AC73" s="524">
        <f>IF(ISBLANK(N73),0,IF(ISNA(VLOOKUP($N73,Veg_Parameters!$A$3:$N$65,10,FALSE)),0,(VLOOKUP($N73,Veg_Parameters!$A$3:$N$65,10,FALSE))))</f>
        <v>0</v>
      </c>
      <c r="AD73" s="524">
        <f>IF(ISBLANK(N73),0,IF(ISNA(VLOOKUP($N73,Veg_Parameters!$A$3:$N$65,11,FALSE)),0,(VLOOKUP($N73,Veg_Parameters!$A$3:$N$65,11,FALSE))))</f>
        <v>0</v>
      </c>
      <c r="AE73" s="524">
        <f>IF(ISBLANK(N73), 0, IF(ISNA(VLOOKUP($N73,Veg_Parameters!$A$3:$N$65,12,FALSE)),0,(VLOOKUP($N73,Veg_Parameters!$A$3:$N$65,12,FALSE))))</f>
        <v>0</v>
      </c>
      <c r="AF73" s="523">
        <f t="shared" ref="AF73:AF97" si="111">IF(N73="", 0,IF($E73="C",W73,IF($E73="F",X73,IF($E73="M",1," "))))</f>
        <v>0</v>
      </c>
      <c r="AG73" s="523">
        <f t="shared" ref="AG73:AG97" si="112">IF(N73="", 0,IF($O$9="L", $AE73, IF($O$9 = "H", 1, IF($O$9="M", 0.8, ""))))</f>
        <v>0</v>
      </c>
      <c r="AH73" s="523">
        <f t="shared" ref="AH73:AH97" si="113">IF(N73&gt;0, AF73*AG73, 0)</f>
        <v>0</v>
      </c>
      <c r="AI73" s="526"/>
      <c r="AJ73" s="527">
        <f>AB73*(IF(ISNA(VLOOKUP($I73,Veg_Parameters!$A$3:$N$65,5,FALSE)),0,(VLOOKUP($I73,Veg_Parameters!$A$3:$N$65,5,FALSE))))</f>
        <v>0</v>
      </c>
      <c r="AK73" s="527">
        <f>IF(ISNA(VLOOKUP($I73,Veg_Parameters!$A$3:$N$65,4,FALSE)),0,(VLOOKUP($I73,Veg_Parameters!$A$3:$N$65,4,FALSE)))</f>
        <v>0</v>
      </c>
      <c r="AL73" s="527">
        <f>AB73*(IF(ISNA(VLOOKUP($I73,Veg_Parameters!$A$3:$N$65,7,FALSE)),0, (VLOOKUP($I73,Veg_Parameters!$A$3:$N$65,7,FALSE))))</f>
        <v>0</v>
      </c>
      <c r="AM73" s="528">
        <f>IF(ISNA(VLOOKUP($I73,Veg_Parameters!$A$3:$N$65,6,FALSE)), 0, (VLOOKUP($I73,Veg_Parameters!$A$3:$N$65,6,FALSE)))</f>
        <v>0</v>
      </c>
      <c r="AN73" s="529">
        <f t="shared" ref="AN73:AN97" si="114">IF($O$7=1,J73+$O$8,J73)</f>
        <v>20</v>
      </c>
      <c r="AO73" s="529">
        <f t="shared" ref="AO73:AO97" si="115">IF(AJ73&gt;0, AK73*(1-EXP(-AJ73*AN73/AK73)), 0)</f>
        <v>0</v>
      </c>
      <c r="AP73" s="529">
        <f t="shared" ref="AP73:AP97" si="116">IF(K73&gt;0, K73*0.3048, AO73)</f>
        <v>0</v>
      </c>
      <c r="AQ73" s="530">
        <f>IF(AL73&gt;0, AM73*(1-EXP(-AL73*AN73/AM73)), 0)</f>
        <v>0</v>
      </c>
      <c r="AR73" s="527" t="s">
        <v>3</v>
      </c>
      <c r="AS73" s="527">
        <f>IF(ISNA(VLOOKUP($I73,Veg_Parameters!$A$3:$N$65,8,FALSE)), 0, (VLOOKUP($I73,Veg_Parameters!$A$3:$N$65,8,FALSE)))</f>
        <v>0</v>
      </c>
      <c r="AT73" s="527">
        <f>AB73*(IF(ISNA(VLOOKUP($I73,Veg_Parameters!$A$3:$N$65,9,FALSE)), 0, (VLOOKUP($I73,Veg_Parameters!$A$3:$N$65,9,FALSE))))</f>
        <v>0</v>
      </c>
      <c r="AU73" s="527">
        <f>IF(ISBLANK(A73),0,VLOOKUP($I73,Veg_Parameters!$A$4:$U$65,21,))</f>
        <v>0</v>
      </c>
      <c r="AV73" s="527">
        <f>IF(OR(I73=3500,I73=3600),U73,0)</f>
        <v>0</v>
      </c>
      <c r="AW73" s="529">
        <f>IF(AT73&gt;0, AS73*(1-EXP(-AT73*AN73/AS73)),0)</f>
        <v>0</v>
      </c>
      <c r="AX73" s="529">
        <f>PI()*(0.5*AW73)^2</f>
        <v>0</v>
      </c>
      <c r="AY73" s="529">
        <f t="shared" ref="AY73:AY97" si="117">IF(AX73*L73*($D73/1000)&lt;$U73, AX73*L73*($D73/1000), $U73)</f>
        <v>0</v>
      </c>
      <c r="AZ73" s="529">
        <f>+IF(AP73&gt;4.6,AY73,0)</f>
        <v>0</v>
      </c>
      <c r="BA73" s="529">
        <f>IF(AND(AP73&gt;0.9,AP73&lt;4.6),AY73,IF(AP73&gt;4.6,0.5*AY73,0))</f>
        <v>0</v>
      </c>
      <c r="BB73" s="529">
        <f>IF(AND(AP73&gt;0,AP73&lt;0.9),AY73,IF(AND(AP73&gt;0.9,AP73&lt;4.6),AY73*0.5,IF(AP73&gt;4.6,AY73*0.25,0)))</f>
        <v>0</v>
      </c>
      <c r="BC73" s="529">
        <f t="shared" ref="BC73:BC97" si="118">IF(ISBLANK(A73),0,(AY73*AU73))</f>
        <v>0</v>
      </c>
      <c r="BD73" s="531"/>
      <c r="BE73" s="527">
        <f>AH73*(IF(ISNA(VLOOKUP($N73,Veg_Parameters!$A$3:$N$65,5,FALSE)),0,(VLOOKUP($N73,Veg_Parameters!$A$3:$N$65,5,FALSE))))</f>
        <v>0</v>
      </c>
      <c r="BF73" s="527">
        <f>IF(ISNA(VLOOKUP($N73,Veg_Parameters!$A$3:$N$65,4,FALSE)),0,(VLOOKUP($N73,Veg_Parameters!$A$3:$N$65,4,FALSE)))</f>
        <v>0</v>
      </c>
      <c r="BG73" s="527">
        <f>AH73*(IF(ISNA(VLOOKUP($N73,Veg_Parameters!$A$3:$N$65,7,FALSE)),0, (VLOOKUP($N73,Veg_Parameters!$A$3:$N$65,7,FALSE))))</f>
        <v>0</v>
      </c>
      <c r="BH73" s="527">
        <f>IF(ISNA(VLOOKUP($N73,Veg_Parameters!$A$3:$N$65,6,FALSE)), 0, (VLOOKUP($N73,Veg_Parameters!$A$3:$N$65,6,FALSE)))</f>
        <v>0</v>
      </c>
      <c r="BI73" s="529">
        <f t="shared" ref="BI73:BI97" si="119">IF($O$7=1,O73+$O$8,O73)</f>
        <v>20</v>
      </c>
      <c r="BJ73" s="529">
        <f>IF(BE73&gt;0, BF73*(1-EXP(-BE73*BI73/BF73)), 0)</f>
        <v>0</v>
      </c>
      <c r="BK73" s="529">
        <f t="shared" ref="BK73:BK97" si="120">IF(P73&gt;0, P73*0.3048, BJ73)</f>
        <v>0</v>
      </c>
      <c r="BL73" s="530">
        <f>IF(BG73&gt;0, BH73*(1-EXP(-BG73*BI73/BH73)), 0)</f>
        <v>0</v>
      </c>
      <c r="BM73" s="527" t="s">
        <v>3</v>
      </c>
      <c r="BN73" s="527">
        <f>IF(ISNA(VLOOKUP(N73,Veg_Parameters!$A$3:$N$65,8,FALSE)), 0, (VLOOKUP($N73,Veg_Parameters!$A$3:$N$65,8,FALSE)))</f>
        <v>0</v>
      </c>
      <c r="BO73" s="527">
        <f>AH73*(IF(ISNA(VLOOKUP($N73,Veg_Parameters!$A$3:$N$65,9,FALSE)), 0, (VLOOKUP($N73,Veg_Parameters!$A$3:$N$65,9,FALSE))))</f>
        <v>0</v>
      </c>
      <c r="BP73" s="527" t="str">
        <f>IF(ISBLANK(N73),"0",VLOOKUP($N73,Veg_Parameters!$A$4:$U$65,21,))</f>
        <v>0</v>
      </c>
      <c r="BQ73" s="529">
        <f>IF(BO73&gt;0, BN73*(1-EXP(-BO73*BI73/BN73)),0)</f>
        <v>0</v>
      </c>
      <c r="BR73" s="529">
        <f>PI()*(0.5*BQ73)^2</f>
        <v>0</v>
      </c>
      <c r="BS73" s="529">
        <f t="shared" ref="BS73:BS97" si="121">IF(BR73*Q73*($D73/1000)&lt;$U73, BR73*Q73*($D73/1000), $U73)</f>
        <v>0</v>
      </c>
      <c r="BT73" s="529">
        <f>+IF(BK73&gt;4.6,BS73,0)</f>
        <v>0</v>
      </c>
      <c r="BU73" s="529">
        <f>IF(AND(BK73&lt;4.6,BK73&gt;0.9),BS73,IF(BK73&gt;4.6,(0.5*BS73),0))</f>
        <v>0</v>
      </c>
      <c r="BV73" s="529">
        <f>IF(AND(BK73&gt;0,BK73&lt;0.9),BS73,IF(AND(BK73&gt;0.9,BK73&lt;4.6),BS73*0.5,IF(BK73&gt;4.6,(BS73*0.25),0)))</f>
        <v>0</v>
      </c>
      <c r="BW73" s="532" t="str">
        <f t="shared" ref="BW73:BW97" si="122">IF(AP73&gt;4.57,I73,"")</f>
        <v/>
      </c>
      <c r="BX73" s="532" t="str">
        <f t="shared" ref="BX73:BX97" si="123">IF(BK73&gt;4.57,N73,"")</f>
        <v/>
      </c>
      <c r="BY73" s="532" t="str">
        <f t="shared" ref="BY73:BY97" si="124">IF((AND(AP73&gt;0.76,AP73&lt;4.6)),I73,"")</f>
        <v/>
      </c>
      <c r="BZ73" s="532" t="str">
        <f t="shared" ref="BZ73:BZ97" si="125">IF((AND(BK73&gt;0.76,BK73&lt;4.6)),N73,"")</f>
        <v/>
      </c>
      <c r="CA73" s="532">
        <f t="shared" ref="CA73:CA97" si="126">IF(ISBLANK(N73),0,(BS73*BP73))</f>
        <v>0</v>
      </c>
      <c r="CB73" s="533"/>
      <c r="CC73" s="624">
        <f t="shared" ref="CC73:CC97" si="127">IF(ISERROR(IF((AY73+BS73)&lt;$U73,(AY73*AQ73+BS73*BL73),(((AQ73*AY73+BL73*BS73)/(AY73+BS73))*$U73))),0,IF((AY73+BS73)&lt;$U73,(AY73*AQ73+BS73*BL73),(((AQ73*AY73+BL73*BS73)/(AY73+BS73))*$U73)))</f>
        <v>0</v>
      </c>
      <c r="CD73" s="534">
        <f t="shared" ref="CD73:CD97" si="128">IF(ISERROR(IF((AZ73+BT73)&lt;$U73,(AQ73*AZ73+BT73*BL73),(((AQ73*AZ73+BL73*BT73)/(AZ73+BT73))*$U73))),0,IF((AZ73+BT73)&lt;$U73,(AQ73*AZ73+BT73*BL73),(((AQ73*AZ73+BL73*BT73)/(AZ73+BT73))*$U73)))</f>
        <v>0</v>
      </c>
      <c r="CE73" s="534">
        <f t="shared" ref="CE73:CE97" si="129">IF(ISERROR(IF((BA73+BU73)&lt;$U73,(AQ73*BA73+BL73*BU73),(((AQ73*BA73+BL73*BU73)/(BA73+BU73))*$U73))),0,IF((BA73+BU73)&lt;$U73,(AQ73*BA73+BL73*BU73),(((AQ73*BA73+BL73*BU73)/(BA73+BU73))*$U73)))</f>
        <v>0</v>
      </c>
      <c r="CF73" s="534">
        <f t="shared" ref="CF73:CF97" si="130">+IF(ISBLANK(A73),0,IF((BB73+BV73+(G73/100)*U73)&gt;U73,U73,(BB73+BV73+(G73/100)*U73)))</f>
        <v>0</v>
      </c>
      <c r="CG73" s="534"/>
      <c r="CH73" s="534"/>
      <c r="CI73" s="534">
        <f>BC73+CA73</f>
        <v>0</v>
      </c>
      <c r="CL73" s="534">
        <f>IF(ISNA(VLOOKUP(I73,Veg_Parameters!$A$3:$N$65,13,FALSE)),0,(VLOOKUP(I73,Veg_Parameters!$A$3:$N$65,13,FALSE)))</f>
        <v>0</v>
      </c>
      <c r="CM73" s="534">
        <f>+IF(ISBLANK(A73),0,IF(CL73="H",BB73,0))</f>
        <v>0</v>
      </c>
      <c r="CN73" s="534">
        <f>IF(ISNA(VLOOKUP(N73,Veg_Parameters!$A$3:$N$65,13,FALSE)),0,(VLOOKUP(N73,Veg_Parameters!$A$3:$N$65,13,FALSE)))</f>
        <v>0</v>
      </c>
      <c r="CO73" s="523">
        <f>+IF(ISBLANK(A73),0, IF(CN73="H", BV73, 0))</f>
        <v>0</v>
      </c>
    </row>
    <row r="74" spans="1:93" x14ac:dyDescent="0.2">
      <c r="A74" s="230"/>
      <c r="B74" s="171" t="str">
        <f>IF(ISBLANK(A74),"",$B$73)</f>
        <v/>
      </c>
      <c r="C74" s="230"/>
      <c r="D74" s="169"/>
      <c r="E74" s="165"/>
      <c r="F74" s="165"/>
      <c r="G74" s="165"/>
      <c r="H74" s="165"/>
      <c r="I74" s="166"/>
      <c r="J74" s="167"/>
      <c r="K74" s="166"/>
      <c r="L74" s="166"/>
      <c r="M74" s="167"/>
      <c r="N74" s="166"/>
      <c r="O74" s="166"/>
      <c r="P74" s="167"/>
      <c r="Q74" s="167"/>
      <c r="R74" s="167"/>
      <c r="S74" s="222" t="str">
        <f>IF(ISBLANK(A74),"",IF(ISNA(VLOOKUP(I74,Veg_Parameters!$A$3:$N$65,3,FALSE)),0,(VLOOKUP(I74,Veg_Parameters!$A$3:$N$65,3,FALSE))))</f>
        <v/>
      </c>
      <c r="T74" s="222" t="str">
        <f>IF(ISBLANK(N74),"",IF(ISNA(VLOOKUP(N74,Veg_Parameters!$A$3:$N$65,3,FALSE)),0,(VLOOKUP(N74,Veg_Parameters!$A$3:$N$65,3,FALSE))))</f>
        <v/>
      </c>
      <c r="U74" s="523">
        <f t="shared" ref="U74:U97" si="131">IF(ISBLANK(A74),0,0.092903*D74)</f>
        <v>0</v>
      </c>
      <c r="V74" s="523">
        <f t="shared" si="108"/>
        <v>0</v>
      </c>
      <c r="W74" s="524">
        <f>IF(ISBLANK(A74),0,IF(ISNA(VLOOKUP($I74,Veg_Parameters!$A$3:$N$65,10,FALSE)),0,(VLOOKUP($I74,Veg_Parameters!$A$3:$N$65,10,FALSE))))</f>
        <v>0</v>
      </c>
      <c r="X74" s="524">
        <f>IF(ISBLANK(A74),0,IF(ISNA(VLOOKUP($I74,Veg_Parameters!$A$3:$N$65,11,FALSE)),0,(VLOOKUP($I74,Veg_Parameters!$A$3:$N$65,11,FALSE))))</f>
        <v>0</v>
      </c>
      <c r="Y74" s="524">
        <f>IF(ISBLANK(A74),0,IF(ISNA(VLOOKUP($I74,Veg_Parameters!$A$3:$N$65,12,FALSE)),0,(VLOOKUP($I74,Veg_Parameters!$A$3:$N$65,12,FALSE))))</f>
        <v>0</v>
      </c>
      <c r="Z74" s="525">
        <f t="shared" si="1"/>
        <v>0</v>
      </c>
      <c r="AA74" s="525">
        <f t="shared" si="109"/>
        <v>0</v>
      </c>
      <c r="AB74" s="525">
        <f t="shared" si="110"/>
        <v>0</v>
      </c>
      <c r="AC74" s="524">
        <f>IF(ISBLANK(N74),0,IF(ISNA(VLOOKUP($N74,Veg_Parameters!$A$3:$N$65,10,FALSE)),0,(VLOOKUP($N74,Veg_Parameters!$A$3:$N$65,10,FALSE))))</f>
        <v>0</v>
      </c>
      <c r="AD74" s="524">
        <f>IF(ISBLANK(N74),0,IF(ISNA(VLOOKUP($N74,Veg_Parameters!$A$3:$N$65,11,FALSE)),0,(VLOOKUP($N74,Veg_Parameters!$A$3:$N$65,11,FALSE))))</f>
        <v>0</v>
      </c>
      <c r="AE74" s="524">
        <f>IF(ISBLANK(N74), 0, IF(ISNA(VLOOKUP($N74,Veg_Parameters!$A$3:$N$65,12,FALSE)),0,(VLOOKUP($N74,Veg_Parameters!$A$3:$N$65,12,FALSE))))</f>
        <v>0</v>
      </c>
      <c r="AF74" s="523">
        <f t="shared" si="111"/>
        <v>0</v>
      </c>
      <c r="AG74" s="523">
        <f t="shared" si="112"/>
        <v>0</v>
      </c>
      <c r="AH74" s="523">
        <f t="shared" si="113"/>
        <v>0</v>
      </c>
      <c r="AI74" s="526"/>
      <c r="AJ74" s="527">
        <f>AB74*(IF(ISNA(VLOOKUP($I74,Veg_Parameters!$A$3:$N$65,5,FALSE)),0,(VLOOKUP($I74,Veg_Parameters!$A$3:$N$65,5,FALSE))))</f>
        <v>0</v>
      </c>
      <c r="AK74" s="527">
        <f>IF(ISNA(VLOOKUP($I74,Veg_Parameters!$A$3:$N$65,4,FALSE)),0,(VLOOKUP($I74,Veg_Parameters!$A$3:$N$65,4,FALSE)))</f>
        <v>0</v>
      </c>
      <c r="AL74" s="527">
        <f>AB74*(IF(ISNA(VLOOKUP($I74,Veg_Parameters!$A$3:$N$65,7,FALSE)),0, (VLOOKUP($I74,Veg_Parameters!$A$3:$N$65,7,FALSE))))</f>
        <v>0</v>
      </c>
      <c r="AM74" s="528">
        <f>IF(ISNA(VLOOKUP($I74,Veg_Parameters!$A$3:$N$65,6,FALSE)), 0, (VLOOKUP($I74,Veg_Parameters!$A$3:$N$65,6,FALSE)))</f>
        <v>0</v>
      </c>
      <c r="AN74" s="529">
        <f t="shared" si="114"/>
        <v>20</v>
      </c>
      <c r="AO74" s="529">
        <f t="shared" si="115"/>
        <v>0</v>
      </c>
      <c r="AP74" s="529">
        <f t="shared" si="116"/>
        <v>0</v>
      </c>
      <c r="AQ74" s="530">
        <f t="shared" ref="AQ74:AQ97" si="132">IF(AL74&gt;0, AM74*(1-EXP(-AL74*AN74/AM74)), 0)</f>
        <v>0</v>
      </c>
      <c r="AR74" s="527" t="s">
        <v>3</v>
      </c>
      <c r="AS74" s="527">
        <f>IF(ISNA(VLOOKUP($I74,Veg_Parameters!$A$3:$N$65,8,FALSE)), 0, (VLOOKUP($I74,Veg_Parameters!$A$3:$N$65,8,FALSE)))</f>
        <v>0</v>
      </c>
      <c r="AT74" s="527">
        <f>AB74*(IF(ISNA(VLOOKUP($I74,Veg_Parameters!$A$3:$N$65,9,FALSE)), 0, (VLOOKUP($I74,Veg_Parameters!$A$3:$N$65,9,FALSE))))</f>
        <v>0</v>
      </c>
      <c r="AU74" s="527">
        <f>IF(ISBLANK(A74),0,VLOOKUP($I74,Veg_Parameters!$A$4:$U$65,21,))</f>
        <v>0</v>
      </c>
      <c r="AV74" s="527">
        <f t="shared" ref="AV74:AV97" si="133">IF(OR(I74=3500,I74=3600),U74,0)</f>
        <v>0</v>
      </c>
      <c r="AW74" s="529">
        <f t="shared" ref="AW74:AW97" si="134">IF(AT74&gt;0, AS74*(1-EXP(-AT74*AN74/AS74)),0)</f>
        <v>0</v>
      </c>
      <c r="AX74" s="529">
        <f t="shared" ref="AX74:AX97" si="135">PI()*(0.5*AW74)^2</f>
        <v>0</v>
      </c>
      <c r="AY74" s="529">
        <f t="shared" si="117"/>
        <v>0</v>
      </c>
      <c r="AZ74" s="529">
        <f t="shared" ref="AZ74:AZ97" si="136">+IF(AP74&gt;4.6,AY74,0)</f>
        <v>0</v>
      </c>
      <c r="BA74" s="529">
        <f t="shared" ref="BA74:BA97" si="137">IF(AND(AP74&gt;0.9,AP74&lt;4.6),AY74,IF(AP74&gt;4.6,0.5*AY74,0))</f>
        <v>0</v>
      </c>
      <c r="BB74" s="529">
        <f t="shared" ref="BB74:BB97" si="138">IF(AND(AP74&gt;0,AP74&lt;0.9),AY74,IF(AND(AP74&gt;0.9,AP74&lt;4.6),AY74*0.5,IF(AP74&gt;4.6,AY74*0.25,0)))</f>
        <v>0</v>
      </c>
      <c r="BC74" s="529">
        <f t="shared" si="118"/>
        <v>0</v>
      </c>
      <c r="BD74" s="531"/>
      <c r="BE74" s="527">
        <f>AH74*(IF(ISNA(VLOOKUP($N74,Veg_Parameters!$A$3:$N$65,5,FALSE)),0,(VLOOKUP($N74,Veg_Parameters!$A$3:$N$65,5,FALSE))))</f>
        <v>0</v>
      </c>
      <c r="BF74" s="527">
        <f>IF(ISNA(VLOOKUP($N74,Veg_Parameters!$A$3:$N$65,4,FALSE)),0,(VLOOKUP($N74,Veg_Parameters!$A$3:$N$65,4,FALSE)))</f>
        <v>0</v>
      </c>
      <c r="BG74" s="527">
        <f>AH74*(IF(ISNA(VLOOKUP($N74,Veg_Parameters!$A$3:$N$65,7,FALSE)),0, (VLOOKUP($N74,Veg_Parameters!$A$3:$N$65,7,FALSE))))</f>
        <v>0</v>
      </c>
      <c r="BH74" s="527">
        <f>IF(ISNA(VLOOKUP($N74,Veg_Parameters!$A$3:$N$65,6,FALSE)), 0, (VLOOKUP($N74,Veg_Parameters!$A$3:$N$65,6,FALSE)))</f>
        <v>0</v>
      </c>
      <c r="BI74" s="529">
        <f t="shared" si="119"/>
        <v>20</v>
      </c>
      <c r="BJ74" s="529">
        <f t="shared" ref="BJ74:BJ97" si="139">IF(BE74&gt;0, BF74*(1-EXP(-BE74*BI74/BF74)), 0)</f>
        <v>0</v>
      </c>
      <c r="BK74" s="529">
        <f t="shared" si="120"/>
        <v>0</v>
      </c>
      <c r="BL74" s="530">
        <f t="shared" ref="BL74:BL97" si="140">IF(BG74&gt;0, BH74*(1-EXP(-BG74*BI74/BH74)), 0)</f>
        <v>0</v>
      </c>
      <c r="BM74" s="527" t="s">
        <v>3</v>
      </c>
      <c r="BN74" s="527">
        <f>IF(ISNA(VLOOKUP(N74,Veg_Parameters!$A$3:$N$65,8,FALSE)), 0, (VLOOKUP($N74,Veg_Parameters!$A$3:$N$65,8,FALSE)))</f>
        <v>0</v>
      </c>
      <c r="BO74" s="527">
        <f>AH74*(IF(ISNA(VLOOKUP($N74,Veg_Parameters!$A$3:$N$65,9,FALSE)), 0, (VLOOKUP($N74,Veg_Parameters!$A$3:$N$65,9,FALSE))))</f>
        <v>0</v>
      </c>
      <c r="BP74" s="527" t="str">
        <f>IF(ISBLANK(N74),"0",VLOOKUP($N74,Veg_Parameters!$A$4:$U$65,21,))</f>
        <v>0</v>
      </c>
      <c r="BQ74" s="529">
        <f t="shared" ref="BQ74:BQ97" si="141">IF(BO74&gt;0, BN74*(1-EXP(-BO74*BI74/BN74)),0)</f>
        <v>0</v>
      </c>
      <c r="BR74" s="529">
        <f t="shared" ref="BR74:BR97" si="142">PI()*(0.5*BQ74)^2</f>
        <v>0</v>
      </c>
      <c r="BS74" s="529">
        <f t="shared" si="121"/>
        <v>0</v>
      </c>
      <c r="BT74" s="529">
        <f t="shared" ref="BT74:BT97" si="143">+IF(BK74&gt;4.6,BS74,0)</f>
        <v>0</v>
      </c>
      <c r="BU74" s="529">
        <f t="shared" ref="BU74:BU97" si="144">IF(AND(BK74&lt;4.6,BK74&gt;0.9),BS74,IF(BK74&gt;4.6,(0.5*BS74),0))</f>
        <v>0</v>
      </c>
      <c r="BV74" s="529">
        <f t="shared" ref="BV74:BV97" si="145">IF(AND(BK74&gt;0,BK74&lt;0.9),BS74,IF(AND(BK74&gt;0.9,BK74&lt;4.6),BS74*0.5,IF(BK74&gt;4.6,(BS74*0.25),0)))</f>
        <v>0</v>
      </c>
      <c r="BW74" s="532" t="str">
        <f t="shared" si="122"/>
        <v/>
      </c>
      <c r="BX74" s="532" t="str">
        <f t="shared" si="123"/>
        <v/>
      </c>
      <c r="BY74" s="532" t="str">
        <f t="shared" si="124"/>
        <v/>
      </c>
      <c r="BZ74" s="532" t="str">
        <f t="shared" si="125"/>
        <v/>
      </c>
      <c r="CA74" s="532">
        <f t="shared" si="126"/>
        <v>0</v>
      </c>
      <c r="CB74" s="533"/>
      <c r="CC74" s="624">
        <f t="shared" si="127"/>
        <v>0</v>
      </c>
      <c r="CD74" s="534">
        <f t="shared" si="128"/>
        <v>0</v>
      </c>
      <c r="CE74" s="534">
        <f t="shared" si="129"/>
        <v>0</v>
      </c>
      <c r="CF74" s="534">
        <f t="shared" si="130"/>
        <v>0</v>
      </c>
      <c r="CG74" s="534"/>
      <c r="CH74" s="534"/>
      <c r="CI74" s="534">
        <f t="shared" ref="CI74:CI97" si="146">BC74+CA74</f>
        <v>0</v>
      </c>
      <c r="CL74" s="534">
        <f>IF(ISNA(VLOOKUP(I74,Veg_Parameters!$A$3:$N$65,13,FALSE)),0,(VLOOKUP(I74,Veg_Parameters!$A$3:$N$65,13,FALSE)))</f>
        <v>0</v>
      </c>
      <c r="CM74" s="534">
        <f t="shared" ref="CM74:CM97" si="147">+IF(ISBLANK(A74),0,IF(CL74="H",BB74,0))</f>
        <v>0</v>
      </c>
      <c r="CN74" s="534">
        <f>IF(ISNA(VLOOKUP(N74,Veg_Parameters!$A$3:$N$65,13,FALSE)),0,(VLOOKUP(N74,Veg_Parameters!$A$3:$N$65,13,FALSE)))</f>
        <v>0</v>
      </c>
      <c r="CO74" s="523">
        <f t="shared" ref="CO74:CO97" si="148">+IF(ISBLANK(A74),0, IF(CN74="H", BV74, 0))</f>
        <v>0</v>
      </c>
    </row>
    <row r="75" spans="1:93" x14ac:dyDescent="0.2">
      <c r="A75" s="230"/>
      <c r="B75" s="171" t="str">
        <f t="shared" ref="B75:B97" si="149">IF(ISBLANK(A75),"",$B$73)</f>
        <v/>
      </c>
      <c r="C75" s="230"/>
      <c r="D75" s="169"/>
      <c r="E75" s="165"/>
      <c r="F75" s="165"/>
      <c r="G75" s="165"/>
      <c r="H75" s="165"/>
      <c r="I75" s="168"/>
      <c r="J75" s="167"/>
      <c r="K75" s="166"/>
      <c r="L75" s="166"/>
      <c r="M75" s="167"/>
      <c r="N75" s="168"/>
      <c r="O75" s="168"/>
      <c r="P75" s="167"/>
      <c r="Q75" s="167"/>
      <c r="R75" s="167"/>
      <c r="S75" s="222" t="str">
        <f>IF(ISBLANK(A75),"",IF(ISNA(VLOOKUP(I75,Veg_Parameters!$A$3:$N$65,3,FALSE)),0,(VLOOKUP(I75,Veg_Parameters!$A$3:$N$65,3,FALSE))))</f>
        <v/>
      </c>
      <c r="T75" s="222" t="str">
        <f>IF(ISBLANK(N75),"",IF(ISNA(VLOOKUP(N75,Veg_Parameters!$A$3:$N$65,3,FALSE)),0,(VLOOKUP(N75,Veg_Parameters!$A$3:$N$65,3,FALSE))))</f>
        <v/>
      </c>
      <c r="U75" s="523">
        <f t="shared" si="131"/>
        <v>0</v>
      </c>
      <c r="V75" s="523">
        <f t="shared" si="108"/>
        <v>0</v>
      </c>
      <c r="W75" s="524">
        <f>IF(ISBLANK(A75),0,IF(ISNA(VLOOKUP($I75,Veg_Parameters!$A$3:$N$65,10,FALSE)),0,(VLOOKUP($I75,Veg_Parameters!$A$3:$N$65,10,FALSE))))</f>
        <v>0</v>
      </c>
      <c r="X75" s="524">
        <f>IF(ISBLANK(A75),0,IF(ISNA(VLOOKUP($I75,Veg_Parameters!$A$3:$N$65,11,FALSE)),0,(VLOOKUP($I75,Veg_Parameters!$A$3:$N$65,11,FALSE))))</f>
        <v>0</v>
      </c>
      <c r="Y75" s="524">
        <f>IF(ISBLANK(A75),0,IF(ISNA(VLOOKUP($I75,Veg_Parameters!$A$3:$N$65,12,FALSE)),0,(VLOOKUP($I75,Veg_Parameters!$A$3:$N$65,12,FALSE))))</f>
        <v>0</v>
      </c>
      <c r="Z75" s="525">
        <f t="shared" si="1"/>
        <v>0</v>
      </c>
      <c r="AA75" s="525">
        <f t="shared" si="109"/>
        <v>0</v>
      </c>
      <c r="AB75" s="525">
        <f t="shared" si="110"/>
        <v>0</v>
      </c>
      <c r="AC75" s="524">
        <f>IF(ISBLANK(N75),0,IF(ISNA(VLOOKUP($N75,Veg_Parameters!$A$3:$N$65,10,FALSE)),0,(VLOOKUP($N75,Veg_Parameters!$A$3:$N$65,10,FALSE))))</f>
        <v>0</v>
      </c>
      <c r="AD75" s="524">
        <f>IF(ISBLANK(N75),0,IF(ISNA(VLOOKUP($N75,Veg_Parameters!$A$3:$N$65,11,FALSE)),0,(VLOOKUP($N75,Veg_Parameters!$A$3:$N$65,11,FALSE))))</f>
        <v>0</v>
      </c>
      <c r="AE75" s="524">
        <f>IF(ISBLANK(N75), 0, IF(ISNA(VLOOKUP($N75,Veg_Parameters!$A$3:$N$65,12,FALSE)),0,(VLOOKUP($N75,Veg_Parameters!$A$3:$N$65,12,FALSE))))</f>
        <v>0</v>
      </c>
      <c r="AF75" s="523">
        <f t="shared" si="111"/>
        <v>0</v>
      </c>
      <c r="AG75" s="523">
        <f t="shared" si="112"/>
        <v>0</v>
      </c>
      <c r="AH75" s="523">
        <f t="shared" si="113"/>
        <v>0</v>
      </c>
      <c r="AI75" s="526"/>
      <c r="AJ75" s="527">
        <f>AB75*(IF(ISNA(VLOOKUP($I75,Veg_Parameters!$A$3:$N$65,5,FALSE)),0,(VLOOKUP($I75,Veg_Parameters!$A$3:$N$65,5,FALSE))))</f>
        <v>0</v>
      </c>
      <c r="AK75" s="527">
        <f>IF(ISNA(VLOOKUP($I75,Veg_Parameters!$A$3:$N$65,4,FALSE)),0,(VLOOKUP($I75,Veg_Parameters!$A$3:$N$65,4,FALSE)))</f>
        <v>0</v>
      </c>
      <c r="AL75" s="527">
        <f>AB75*(IF(ISNA(VLOOKUP($I75,Veg_Parameters!$A$3:$N$65,7,FALSE)),0, (VLOOKUP($I75,Veg_Parameters!$A$3:$N$65,7,FALSE))))</f>
        <v>0</v>
      </c>
      <c r="AM75" s="528">
        <f>IF(ISNA(VLOOKUP($I75,Veg_Parameters!$A$3:$N$65,6,FALSE)), 0, (VLOOKUP($I75,Veg_Parameters!$A$3:$N$65,6,FALSE)))</f>
        <v>0</v>
      </c>
      <c r="AN75" s="529">
        <f t="shared" si="114"/>
        <v>20</v>
      </c>
      <c r="AO75" s="529">
        <f t="shared" si="115"/>
        <v>0</v>
      </c>
      <c r="AP75" s="529">
        <f t="shared" si="116"/>
        <v>0</v>
      </c>
      <c r="AQ75" s="530">
        <f t="shared" si="132"/>
        <v>0</v>
      </c>
      <c r="AR75" s="527" t="s">
        <v>3</v>
      </c>
      <c r="AS75" s="527">
        <f>IF(ISNA(VLOOKUP($I75,Veg_Parameters!$A$3:$N$65,8,FALSE)), 0, (VLOOKUP($I75,Veg_Parameters!$A$3:$N$65,8,FALSE)))</f>
        <v>0</v>
      </c>
      <c r="AT75" s="527">
        <f>AB75*(IF(ISNA(VLOOKUP($I75,Veg_Parameters!$A$3:$N$65,9,FALSE)), 0, (VLOOKUP($I75,Veg_Parameters!$A$3:$N$65,9,FALSE))))</f>
        <v>0</v>
      </c>
      <c r="AU75" s="527">
        <f>IF(ISBLANK(A75),0,VLOOKUP($I75,Veg_Parameters!$A$4:$U$65,21,))</f>
        <v>0</v>
      </c>
      <c r="AV75" s="527">
        <f t="shared" si="133"/>
        <v>0</v>
      </c>
      <c r="AW75" s="529">
        <f t="shared" si="134"/>
        <v>0</v>
      </c>
      <c r="AX75" s="529">
        <f t="shared" si="135"/>
        <v>0</v>
      </c>
      <c r="AY75" s="529">
        <f t="shared" si="117"/>
        <v>0</v>
      </c>
      <c r="AZ75" s="529">
        <f t="shared" si="136"/>
        <v>0</v>
      </c>
      <c r="BA75" s="529">
        <f t="shared" si="137"/>
        <v>0</v>
      </c>
      <c r="BB75" s="529">
        <f t="shared" si="138"/>
        <v>0</v>
      </c>
      <c r="BC75" s="529">
        <f t="shared" si="118"/>
        <v>0</v>
      </c>
      <c r="BD75" s="531"/>
      <c r="BE75" s="527">
        <f>AH75*(IF(ISNA(VLOOKUP($N75,Veg_Parameters!$A$3:$N$65,5,FALSE)),0,(VLOOKUP($N75,Veg_Parameters!$A$3:$N$65,5,FALSE))))</f>
        <v>0</v>
      </c>
      <c r="BF75" s="527">
        <f>IF(ISNA(VLOOKUP($N75,Veg_Parameters!$A$3:$N$65,4,FALSE)),0,(VLOOKUP($N75,Veg_Parameters!$A$3:$N$65,4,FALSE)))</f>
        <v>0</v>
      </c>
      <c r="BG75" s="527">
        <f>AH75*(IF(ISNA(VLOOKUP($N75,Veg_Parameters!$A$3:$N$65,7,FALSE)),0, (VLOOKUP($N75,Veg_Parameters!$A$3:$N$65,7,FALSE))))</f>
        <v>0</v>
      </c>
      <c r="BH75" s="527">
        <f>IF(ISNA(VLOOKUP($N75,Veg_Parameters!$A$3:$N$65,6,FALSE)), 0, (VLOOKUP($N75,Veg_Parameters!$A$3:$N$65,6,FALSE)))</f>
        <v>0</v>
      </c>
      <c r="BI75" s="529">
        <f t="shared" si="119"/>
        <v>20</v>
      </c>
      <c r="BJ75" s="529">
        <f t="shared" si="139"/>
        <v>0</v>
      </c>
      <c r="BK75" s="529">
        <f t="shared" si="120"/>
        <v>0</v>
      </c>
      <c r="BL75" s="530">
        <f t="shared" si="140"/>
        <v>0</v>
      </c>
      <c r="BM75" s="527" t="s">
        <v>3</v>
      </c>
      <c r="BN75" s="527">
        <f>IF(ISNA(VLOOKUP(N75,Veg_Parameters!$A$3:$N$65,8,FALSE)), 0, (VLOOKUP($N75,Veg_Parameters!$A$3:$N$65,8,FALSE)))</f>
        <v>0</v>
      </c>
      <c r="BO75" s="527">
        <f>AH75*(IF(ISNA(VLOOKUP($N75,Veg_Parameters!$A$3:$N$65,9,FALSE)), 0, (VLOOKUP($N75,Veg_Parameters!$A$3:$N$65,9,FALSE))))</f>
        <v>0</v>
      </c>
      <c r="BP75" s="527" t="str">
        <f>IF(ISBLANK(N75),"0",VLOOKUP($N75,Veg_Parameters!$A$4:$U$65,21,))</f>
        <v>0</v>
      </c>
      <c r="BQ75" s="529">
        <f t="shared" si="141"/>
        <v>0</v>
      </c>
      <c r="BR75" s="529">
        <f t="shared" si="142"/>
        <v>0</v>
      </c>
      <c r="BS75" s="529">
        <f t="shared" si="121"/>
        <v>0</v>
      </c>
      <c r="BT75" s="529">
        <f t="shared" si="143"/>
        <v>0</v>
      </c>
      <c r="BU75" s="529">
        <f t="shared" si="144"/>
        <v>0</v>
      </c>
      <c r="BV75" s="529">
        <f t="shared" si="145"/>
        <v>0</v>
      </c>
      <c r="BW75" s="532" t="str">
        <f t="shared" si="122"/>
        <v/>
      </c>
      <c r="BX75" s="532" t="str">
        <f t="shared" si="123"/>
        <v/>
      </c>
      <c r="BY75" s="532" t="str">
        <f t="shared" si="124"/>
        <v/>
      </c>
      <c r="BZ75" s="532" t="str">
        <f t="shared" si="125"/>
        <v/>
      </c>
      <c r="CA75" s="532">
        <f t="shared" si="126"/>
        <v>0</v>
      </c>
      <c r="CB75" s="533"/>
      <c r="CC75" s="624">
        <f t="shared" si="127"/>
        <v>0</v>
      </c>
      <c r="CD75" s="534">
        <f t="shared" si="128"/>
        <v>0</v>
      </c>
      <c r="CE75" s="534">
        <f t="shared" si="129"/>
        <v>0</v>
      </c>
      <c r="CF75" s="534">
        <f t="shared" si="130"/>
        <v>0</v>
      </c>
      <c r="CG75" s="534"/>
      <c r="CH75" s="534"/>
      <c r="CI75" s="534">
        <f t="shared" si="146"/>
        <v>0</v>
      </c>
      <c r="CL75" s="534">
        <f>IF(ISNA(VLOOKUP(I75,Veg_Parameters!$A$3:$N$65,13,FALSE)),0,(VLOOKUP(I75,Veg_Parameters!$A$3:$N$65,13,FALSE)))</f>
        <v>0</v>
      </c>
      <c r="CM75" s="534">
        <f t="shared" si="147"/>
        <v>0</v>
      </c>
      <c r="CN75" s="534">
        <f>IF(ISNA(VLOOKUP(N75,Veg_Parameters!$A$3:$N$65,13,FALSE)),0,(VLOOKUP(N75,Veg_Parameters!$A$3:$N$65,13,FALSE)))</f>
        <v>0</v>
      </c>
      <c r="CO75" s="523">
        <f t="shared" si="148"/>
        <v>0</v>
      </c>
    </row>
    <row r="76" spans="1:93" x14ac:dyDescent="0.2">
      <c r="A76" s="230"/>
      <c r="B76" s="171" t="str">
        <f t="shared" si="149"/>
        <v/>
      </c>
      <c r="C76" s="230"/>
      <c r="D76" s="169"/>
      <c r="E76" s="165"/>
      <c r="F76" s="165"/>
      <c r="G76" s="165"/>
      <c r="H76" s="165"/>
      <c r="I76" s="168"/>
      <c r="J76" s="167"/>
      <c r="K76" s="168"/>
      <c r="L76" s="167"/>
      <c r="M76" s="167"/>
      <c r="N76" s="168"/>
      <c r="O76" s="168"/>
      <c r="P76" s="167"/>
      <c r="Q76" s="167"/>
      <c r="R76" s="167"/>
      <c r="S76" s="222" t="str">
        <f>IF(ISBLANK(A76),"",IF(ISNA(VLOOKUP(I76,Veg_Parameters!$A$3:$N$65,3,FALSE)),0,(VLOOKUP(I76,Veg_Parameters!$A$3:$N$65,3,FALSE))))</f>
        <v/>
      </c>
      <c r="T76" s="222" t="str">
        <f>IF(ISBLANK(N76),"",IF(ISNA(VLOOKUP(N76,Veg_Parameters!$A$3:$N$65,3,FALSE)),0,(VLOOKUP(N76,Veg_Parameters!$A$3:$N$65,3,FALSE))))</f>
        <v/>
      </c>
      <c r="U76" s="523">
        <f t="shared" si="131"/>
        <v>0</v>
      </c>
      <c r="V76" s="523">
        <f t="shared" si="108"/>
        <v>0</v>
      </c>
      <c r="W76" s="524">
        <f>IF(ISBLANK(A76),0,IF(ISNA(VLOOKUP($I76,Veg_Parameters!$A$3:$N$65,10,FALSE)),0,(VLOOKUP($I76,Veg_Parameters!$A$3:$N$65,10,FALSE))))</f>
        <v>0</v>
      </c>
      <c r="X76" s="524">
        <f>IF(ISBLANK(A76),0,IF(ISNA(VLOOKUP($I76,Veg_Parameters!$A$3:$N$65,11,FALSE)),0,(VLOOKUP($I76,Veg_Parameters!$A$3:$N$65,11,FALSE))))</f>
        <v>0</v>
      </c>
      <c r="Y76" s="524">
        <f>IF(ISBLANK(A76),0,IF(ISNA(VLOOKUP($I76,Veg_Parameters!$A$3:$N$65,12,FALSE)),0,(VLOOKUP($I76,Veg_Parameters!$A$3:$N$65,12,FALSE))))</f>
        <v>0</v>
      </c>
      <c r="Z76" s="525">
        <f t="shared" si="1"/>
        <v>0</v>
      </c>
      <c r="AA76" s="525">
        <f t="shared" si="109"/>
        <v>0</v>
      </c>
      <c r="AB76" s="525">
        <f t="shared" si="110"/>
        <v>0</v>
      </c>
      <c r="AC76" s="524">
        <f>IF(ISBLANK(N76),0,IF(ISNA(VLOOKUP($N76,Veg_Parameters!$A$3:$N$65,10,FALSE)),0,(VLOOKUP($N76,Veg_Parameters!$A$3:$N$65,10,FALSE))))</f>
        <v>0</v>
      </c>
      <c r="AD76" s="524">
        <f>IF(ISBLANK(N76),0,IF(ISNA(VLOOKUP($N76,Veg_Parameters!$A$3:$N$65,11,FALSE)),0,(VLOOKUP($N76,Veg_Parameters!$A$3:$N$65,11,FALSE))))</f>
        <v>0</v>
      </c>
      <c r="AE76" s="524">
        <f>IF(ISBLANK(N76), 0, IF(ISNA(VLOOKUP($N76,Veg_Parameters!$A$3:$N$65,12,FALSE)),0,(VLOOKUP($N76,Veg_Parameters!$A$3:$N$65,12,FALSE))))</f>
        <v>0</v>
      </c>
      <c r="AF76" s="523">
        <f t="shared" si="111"/>
        <v>0</v>
      </c>
      <c r="AG76" s="523">
        <f t="shared" si="112"/>
        <v>0</v>
      </c>
      <c r="AH76" s="523">
        <f t="shared" si="113"/>
        <v>0</v>
      </c>
      <c r="AI76" s="526"/>
      <c r="AJ76" s="527">
        <f>AB76*(IF(ISNA(VLOOKUP($I76,Veg_Parameters!$A$3:$N$65,5,FALSE)),0,(VLOOKUP($I76,Veg_Parameters!$A$3:$N$65,5,FALSE))))</f>
        <v>0</v>
      </c>
      <c r="AK76" s="527">
        <f>IF(ISNA(VLOOKUP($I76,Veg_Parameters!$A$3:$N$65,4,FALSE)),0,(VLOOKUP($I76,Veg_Parameters!$A$3:$N$65,4,FALSE)))</f>
        <v>0</v>
      </c>
      <c r="AL76" s="527">
        <f>AB76*(IF(ISNA(VLOOKUP($I76,Veg_Parameters!$A$3:$N$65,7,FALSE)),0, (VLOOKUP($I76,Veg_Parameters!$A$3:$N$65,7,FALSE))))</f>
        <v>0</v>
      </c>
      <c r="AM76" s="528">
        <f>IF(ISNA(VLOOKUP($I76,Veg_Parameters!$A$3:$N$65,6,FALSE)), 0, (VLOOKUP($I76,Veg_Parameters!$A$3:$N$65,6,FALSE)))</f>
        <v>0</v>
      </c>
      <c r="AN76" s="529">
        <f t="shared" si="114"/>
        <v>20</v>
      </c>
      <c r="AO76" s="529">
        <f t="shared" si="115"/>
        <v>0</v>
      </c>
      <c r="AP76" s="529">
        <f t="shared" si="116"/>
        <v>0</v>
      </c>
      <c r="AQ76" s="530">
        <f t="shared" si="132"/>
        <v>0</v>
      </c>
      <c r="AR76" s="527" t="s">
        <v>3</v>
      </c>
      <c r="AS76" s="527">
        <f>IF(ISNA(VLOOKUP($I76,Veg_Parameters!$A$3:$N$65,8,FALSE)), 0, (VLOOKUP($I76,Veg_Parameters!$A$3:$N$65,8,FALSE)))</f>
        <v>0</v>
      </c>
      <c r="AT76" s="527">
        <f>AB76*(IF(ISNA(VLOOKUP($I76,Veg_Parameters!$A$3:$N$65,9,FALSE)), 0, (VLOOKUP($I76,Veg_Parameters!$A$3:$N$65,9,FALSE))))</f>
        <v>0</v>
      </c>
      <c r="AU76" s="527">
        <f>IF(ISBLANK(A76),0,VLOOKUP($I76,Veg_Parameters!$A$4:$U$65,21,))</f>
        <v>0</v>
      </c>
      <c r="AV76" s="527">
        <f t="shared" si="133"/>
        <v>0</v>
      </c>
      <c r="AW76" s="529">
        <f t="shared" si="134"/>
        <v>0</v>
      </c>
      <c r="AX76" s="529">
        <f t="shared" si="135"/>
        <v>0</v>
      </c>
      <c r="AY76" s="529">
        <f t="shared" si="117"/>
        <v>0</v>
      </c>
      <c r="AZ76" s="529">
        <f t="shared" si="136"/>
        <v>0</v>
      </c>
      <c r="BA76" s="529">
        <f t="shared" si="137"/>
        <v>0</v>
      </c>
      <c r="BB76" s="529">
        <f t="shared" si="138"/>
        <v>0</v>
      </c>
      <c r="BC76" s="529">
        <f t="shared" si="118"/>
        <v>0</v>
      </c>
      <c r="BD76" s="531"/>
      <c r="BE76" s="527">
        <f>AH76*(IF(ISNA(VLOOKUP($N76,Veg_Parameters!$A$3:$N$65,5,FALSE)),0,(VLOOKUP($N76,Veg_Parameters!$A$3:$N$65,5,FALSE))))</f>
        <v>0</v>
      </c>
      <c r="BF76" s="527">
        <f>IF(ISNA(VLOOKUP($N76,Veg_Parameters!$A$3:$N$65,4,FALSE)),0,(VLOOKUP($N76,Veg_Parameters!$A$3:$N$65,4,FALSE)))</f>
        <v>0</v>
      </c>
      <c r="BG76" s="527">
        <f>AH76*(IF(ISNA(VLOOKUP($N76,Veg_Parameters!$A$3:$N$65,7,FALSE)),0, (VLOOKUP($N76,Veg_Parameters!$A$3:$N$65,7,FALSE))))</f>
        <v>0</v>
      </c>
      <c r="BH76" s="527">
        <f>IF(ISNA(VLOOKUP($N76,Veg_Parameters!$A$3:$N$65,6,FALSE)), 0, (VLOOKUP($N76,Veg_Parameters!$A$3:$N$65,6,FALSE)))</f>
        <v>0</v>
      </c>
      <c r="BI76" s="529">
        <f t="shared" si="119"/>
        <v>20</v>
      </c>
      <c r="BJ76" s="529">
        <f t="shared" si="139"/>
        <v>0</v>
      </c>
      <c r="BK76" s="529">
        <f t="shared" si="120"/>
        <v>0</v>
      </c>
      <c r="BL76" s="530">
        <f t="shared" si="140"/>
        <v>0</v>
      </c>
      <c r="BM76" s="527" t="s">
        <v>3</v>
      </c>
      <c r="BN76" s="527">
        <f>IF(ISNA(VLOOKUP(N76,Veg_Parameters!$A$3:$N$65,8,FALSE)), 0, (VLOOKUP($N76,Veg_Parameters!$A$3:$N$65,8,FALSE)))</f>
        <v>0</v>
      </c>
      <c r="BO76" s="527">
        <f>AH76*(IF(ISNA(VLOOKUP($N76,Veg_Parameters!$A$3:$N$65,9,FALSE)), 0, (VLOOKUP($N76,Veg_Parameters!$A$3:$N$65,9,FALSE))))</f>
        <v>0</v>
      </c>
      <c r="BP76" s="527" t="str">
        <f>IF(ISBLANK(N76),"0",VLOOKUP($N76,Veg_Parameters!$A$4:$U$65,21,))</f>
        <v>0</v>
      </c>
      <c r="BQ76" s="529">
        <f t="shared" si="141"/>
        <v>0</v>
      </c>
      <c r="BR76" s="529">
        <f t="shared" si="142"/>
        <v>0</v>
      </c>
      <c r="BS76" s="529">
        <f t="shared" si="121"/>
        <v>0</v>
      </c>
      <c r="BT76" s="529">
        <f t="shared" si="143"/>
        <v>0</v>
      </c>
      <c r="BU76" s="529">
        <f t="shared" si="144"/>
        <v>0</v>
      </c>
      <c r="BV76" s="529">
        <f t="shared" si="145"/>
        <v>0</v>
      </c>
      <c r="BW76" s="532" t="str">
        <f t="shared" si="122"/>
        <v/>
      </c>
      <c r="BX76" s="532" t="str">
        <f t="shared" si="123"/>
        <v/>
      </c>
      <c r="BY76" s="532" t="str">
        <f t="shared" si="124"/>
        <v/>
      </c>
      <c r="BZ76" s="532" t="str">
        <f t="shared" si="125"/>
        <v/>
      </c>
      <c r="CA76" s="532">
        <f t="shared" si="126"/>
        <v>0</v>
      </c>
      <c r="CB76" s="533"/>
      <c r="CC76" s="624">
        <f t="shared" si="127"/>
        <v>0</v>
      </c>
      <c r="CD76" s="534">
        <f t="shared" si="128"/>
        <v>0</v>
      </c>
      <c r="CE76" s="534">
        <f t="shared" si="129"/>
        <v>0</v>
      </c>
      <c r="CF76" s="534">
        <f t="shared" si="130"/>
        <v>0</v>
      </c>
      <c r="CG76" s="534"/>
      <c r="CH76" s="534"/>
      <c r="CI76" s="534">
        <f t="shared" si="146"/>
        <v>0</v>
      </c>
      <c r="CL76" s="534">
        <f>IF(ISNA(VLOOKUP(I76,Veg_Parameters!$A$3:$N$65,13,FALSE)),0,(VLOOKUP(I76,Veg_Parameters!$A$3:$N$65,13,FALSE)))</f>
        <v>0</v>
      </c>
      <c r="CM76" s="534">
        <f t="shared" si="147"/>
        <v>0</v>
      </c>
      <c r="CN76" s="534">
        <f>IF(ISNA(VLOOKUP(N76,Veg_Parameters!$A$3:$N$65,13,FALSE)),0,(VLOOKUP(N76,Veg_Parameters!$A$3:$N$65,13,FALSE)))</f>
        <v>0</v>
      </c>
      <c r="CO76" s="523">
        <f t="shared" si="148"/>
        <v>0</v>
      </c>
    </row>
    <row r="77" spans="1:93" x14ac:dyDescent="0.2">
      <c r="A77" s="230"/>
      <c r="B77" s="171" t="str">
        <f t="shared" si="149"/>
        <v/>
      </c>
      <c r="C77" s="230"/>
      <c r="D77" s="169"/>
      <c r="E77" s="165"/>
      <c r="F77" s="165"/>
      <c r="G77" s="165"/>
      <c r="H77" s="165"/>
      <c r="I77" s="168"/>
      <c r="J77" s="167"/>
      <c r="K77" s="168"/>
      <c r="L77" s="167"/>
      <c r="M77" s="167"/>
      <c r="N77" s="168"/>
      <c r="O77" s="168"/>
      <c r="P77" s="167"/>
      <c r="Q77" s="167"/>
      <c r="R77" s="167"/>
      <c r="S77" s="222" t="str">
        <f>IF(ISBLANK(A77),"",IF(ISNA(VLOOKUP(I77,Veg_Parameters!$A$3:$N$65,3,FALSE)),0,(VLOOKUP(I77,Veg_Parameters!$A$3:$N$65,3,FALSE))))</f>
        <v/>
      </c>
      <c r="T77" s="222" t="str">
        <f>IF(ISBLANK(N77),"",IF(ISNA(VLOOKUP(N77,Veg_Parameters!$A$3:$N$65,3,FALSE)),0,(VLOOKUP(N77,Veg_Parameters!$A$3:$N$65,3,FALSE))))</f>
        <v/>
      </c>
      <c r="U77" s="523">
        <f t="shared" si="131"/>
        <v>0</v>
      </c>
      <c r="V77" s="523">
        <f t="shared" si="108"/>
        <v>0</v>
      </c>
      <c r="W77" s="524">
        <f>IF(ISBLANK(A77),0,IF(ISNA(VLOOKUP($I77,Veg_Parameters!$A$3:$N$65,10,FALSE)),0,(VLOOKUP($I77,Veg_Parameters!$A$3:$N$65,10,FALSE))))</f>
        <v>0</v>
      </c>
      <c r="X77" s="524">
        <f>IF(ISBLANK(A77),0,IF(ISNA(VLOOKUP($I77,Veg_Parameters!$A$3:$N$65,11,FALSE)),0,(VLOOKUP($I77,Veg_Parameters!$A$3:$N$65,11,FALSE))))</f>
        <v>0</v>
      </c>
      <c r="Y77" s="524">
        <f>IF(ISBLANK(A77),0,IF(ISNA(VLOOKUP($I77,Veg_Parameters!$A$3:$N$65,12,FALSE)),0,(VLOOKUP($I77,Veg_Parameters!$A$3:$N$65,12,FALSE))))</f>
        <v>0</v>
      </c>
      <c r="Z77" s="525">
        <f t="shared" ref="Z77:Z97" si="150">IF($E77="C",$W77,IF($E77="F",$X77,IF($E77="M",1,0)))</f>
        <v>0</v>
      </c>
      <c r="AA77" s="525">
        <f t="shared" si="109"/>
        <v>0</v>
      </c>
      <c r="AB77" s="525">
        <f t="shared" si="110"/>
        <v>0</v>
      </c>
      <c r="AC77" s="524">
        <f>IF(ISBLANK(N77),0,IF(ISNA(VLOOKUP($N77,Veg_Parameters!$A$3:$N$65,10,FALSE)),0,(VLOOKUP($N77,Veg_Parameters!$A$3:$N$65,10,FALSE))))</f>
        <v>0</v>
      </c>
      <c r="AD77" s="524">
        <f>IF(ISBLANK(N77),0,IF(ISNA(VLOOKUP($N77,Veg_Parameters!$A$3:$N$65,11,FALSE)),0,(VLOOKUP($N77,Veg_Parameters!$A$3:$N$65,11,FALSE))))</f>
        <v>0</v>
      </c>
      <c r="AE77" s="524">
        <f>IF(ISBLANK(N77), 0, IF(ISNA(VLOOKUP($N77,Veg_Parameters!$A$3:$N$65,12,FALSE)),0,(VLOOKUP($N77,Veg_Parameters!$A$3:$N$65,12,FALSE))))</f>
        <v>0</v>
      </c>
      <c r="AF77" s="523">
        <f t="shared" si="111"/>
        <v>0</v>
      </c>
      <c r="AG77" s="523">
        <f t="shared" si="112"/>
        <v>0</v>
      </c>
      <c r="AH77" s="523">
        <f t="shared" si="113"/>
        <v>0</v>
      </c>
      <c r="AI77" s="526"/>
      <c r="AJ77" s="527">
        <f>AB77*(IF(ISNA(VLOOKUP($I77,Veg_Parameters!$A$3:$N$65,5,FALSE)),0,(VLOOKUP($I77,Veg_Parameters!$A$3:$N$65,5,FALSE))))</f>
        <v>0</v>
      </c>
      <c r="AK77" s="527">
        <f>IF(ISNA(VLOOKUP($I77,Veg_Parameters!$A$3:$N$65,4,FALSE)),0,(VLOOKUP($I77,Veg_Parameters!$A$3:$N$65,4,FALSE)))</f>
        <v>0</v>
      </c>
      <c r="AL77" s="527">
        <f>AB77*(IF(ISNA(VLOOKUP($I77,Veg_Parameters!$A$3:$N$65,7,FALSE)),0, (VLOOKUP($I77,Veg_Parameters!$A$3:$N$65,7,FALSE))))</f>
        <v>0</v>
      </c>
      <c r="AM77" s="528">
        <f>IF(ISNA(VLOOKUP($I77,Veg_Parameters!$A$3:$N$65,6,FALSE)), 0, (VLOOKUP($I77,Veg_Parameters!$A$3:$N$65,6,FALSE)))</f>
        <v>0</v>
      </c>
      <c r="AN77" s="529">
        <f t="shared" si="114"/>
        <v>20</v>
      </c>
      <c r="AO77" s="529">
        <f t="shared" si="115"/>
        <v>0</v>
      </c>
      <c r="AP77" s="529">
        <f t="shared" si="116"/>
        <v>0</v>
      </c>
      <c r="AQ77" s="530">
        <f t="shared" si="132"/>
        <v>0</v>
      </c>
      <c r="AR77" s="527" t="s">
        <v>3</v>
      </c>
      <c r="AS77" s="527">
        <f>IF(ISNA(VLOOKUP($I77,Veg_Parameters!$A$3:$N$65,8,FALSE)), 0, (VLOOKUP($I77,Veg_Parameters!$A$3:$N$65,8,FALSE)))</f>
        <v>0</v>
      </c>
      <c r="AT77" s="527">
        <f>AB77*(IF(ISNA(VLOOKUP($I77,Veg_Parameters!$A$3:$N$65,9,FALSE)), 0, (VLOOKUP($I77,Veg_Parameters!$A$3:$N$65,9,FALSE))))</f>
        <v>0</v>
      </c>
      <c r="AU77" s="527">
        <f>IF(ISBLANK(A77),0,VLOOKUP($I77,Veg_Parameters!$A$4:$U$65,21,))</f>
        <v>0</v>
      </c>
      <c r="AV77" s="527">
        <f t="shared" si="133"/>
        <v>0</v>
      </c>
      <c r="AW77" s="529">
        <f t="shared" si="134"/>
        <v>0</v>
      </c>
      <c r="AX77" s="529">
        <f t="shared" si="135"/>
        <v>0</v>
      </c>
      <c r="AY77" s="529">
        <f t="shared" si="117"/>
        <v>0</v>
      </c>
      <c r="AZ77" s="529">
        <f t="shared" si="136"/>
        <v>0</v>
      </c>
      <c r="BA77" s="529">
        <f t="shared" si="137"/>
        <v>0</v>
      </c>
      <c r="BB77" s="529">
        <f t="shared" si="138"/>
        <v>0</v>
      </c>
      <c r="BC77" s="529">
        <f t="shared" si="118"/>
        <v>0</v>
      </c>
      <c r="BD77" s="531"/>
      <c r="BE77" s="527">
        <f>AH77*(IF(ISNA(VLOOKUP($N77,Veg_Parameters!$A$3:$N$65,5,FALSE)),0,(VLOOKUP($N77,Veg_Parameters!$A$3:$N$65,5,FALSE))))</f>
        <v>0</v>
      </c>
      <c r="BF77" s="527">
        <f>IF(ISNA(VLOOKUP($N77,Veg_Parameters!$A$3:$N$65,4,FALSE)),0,(VLOOKUP($N77,Veg_Parameters!$A$3:$N$65,4,FALSE)))</f>
        <v>0</v>
      </c>
      <c r="BG77" s="527">
        <f>AH77*(IF(ISNA(VLOOKUP($N77,Veg_Parameters!$A$3:$N$65,7,FALSE)),0, (VLOOKUP($N77,Veg_Parameters!$A$3:$N$65,7,FALSE))))</f>
        <v>0</v>
      </c>
      <c r="BH77" s="527">
        <f>IF(ISNA(VLOOKUP($N77,Veg_Parameters!$A$3:$N$65,6,FALSE)), 0, (VLOOKUP($N77,Veg_Parameters!$A$3:$N$65,6,FALSE)))</f>
        <v>0</v>
      </c>
      <c r="BI77" s="529">
        <f t="shared" si="119"/>
        <v>20</v>
      </c>
      <c r="BJ77" s="529">
        <f t="shared" si="139"/>
        <v>0</v>
      </c>
      <c r="BK77" s="529">
        <f t="shared" si="120"/>
        <v>0</v>
      </c>
      <c r="BL77" s="530">
        <f t="shared" si="140"/>
        <v>0</v>
      </c>
      <c r="BM77" s="527" t="s">
        <v>3</v>
      </c>
      <c r="BN77" s="527">
        <f>IF(ISNA(VLOOKUP(N77,Veg_Parameters!$A$3:$N$65,8,FALSE)), 0, (VLOOKUP($N77,Veg_Parameters!$A$3:$N$65,8,FALSE)))</f>
        <v>0</v>
      </c>
      <c r="BO77" s="527">
        <f>AH77*(IF(ISNA(VLOOKUP($N77,Veg_Parameters!$A$3:$N$65,9,FALSE)), 0, (VLOOKUP($N77,Veg_Parameters!$A$3:$N$65,9,FALSE))))</f>
        <v>0</v>
      </c>
      <c r="BP77" s="527" t="str">
        <f>IF(ISBLANK(N77),"0",VLOOKUP($N77,Veg_Parameters!$A$4:$U$65,21,))</f>
        <v>0</v>
      </c>
      <c r="BQ77" s="529">
        <f t="shared" si="141"/>
        <v>0</v>
      </c>
      <c r="BR77" s="529">
        <f t="shared" si="142"/>
        <v>0</v>
      </c>
      <c r="BS77" s="529">
        <f t="shared" si="121"/>
        <v>0</v>
      </c>
      <c r="BT77" s="529">
        <f t="shared" si="143"/>
        <v>0</v>
      </c>
      <c r="BU77" s="529">
        <f t="shared" si="144"/>
        <v>0</v>
      </c>
      <c r="BV77" s="529">
        <f t="shared" si="145"/>
        <v>0</v>
      </c>
      <c r="BW77" s="532" t="str">
        <f t="shared" si="122"/>
        <v/>
      </c>
      <c r="BX77" s="532" t="str">
        <f t="shared" si="123"/>
        <v/>
      </c>
      <c r="BY77" s="532" t="str">
        <f t="shared" si="124"/>
        <v/>
      </c>
      <c r="BZ77" s="532" t="str">
        <f t="shared" si="125"/>
        <v/>
      </c>
      <c r="CA77" s="532">
        <f t="shared" si="126"/>
        <v>0</v>
      </c>
      <c r="CB77" s="533"/>
      <c r="CC77" s="624">
        <f t="shared" si="127"/>
        <v>0</v>
      </c>
      <c r="CD77" s="534">
        <f t="shared" si="128"/>
        <v>0</v>
      </c>
      <c r="CE77" s="534">
        <f t="shared" si="129"/>
        <v>0</v>
      </c>
      <c r="CF77" s="534">
        <f t="shared" si="130"/>
        <v>0</v>
      </c>
      <c r="CG77" s="534"/>
      <c r="CH77" s="534"/>
      <c r="CI77" s="534">
        <f t="shared" si="146"/>
        <v>0</v>
      </c>
      <c r="CL77" s="534">
        <f>IF(ISNA(VLOOKUP(I77,Veg_Parameters!$A$3:$N$65,13,FALSE)),0,(VLOOKUP(I77,Veg_Parameters!$A$3:$N$65,13,FALSE)))</f>
        <v>0</v>
      </c>
      <c r="CM77" s="534">
        <f t="shared" si="147"/>
        <v>0</v>
      </c>
      <c r="CN77" s="534">
        <f>IF(ISNA(VLOOKUP(N77,Veg_Parameters!$A$3:$N$65,13,FALSE)),0,(VLOOKUP(N77,Veg_Parameters!$A$3:$N$65,13,FALSE)))</f>
        <v>0</v>
      </c>
      <c r="CO77" s="523">
        <f t="shared" si="148"/>
        <v>0</v>
      </c>
    </row>
    <row r="78" spans="1:93" x14ac:dyDescent="0.2">
      <c r="A78" s="230"/>
      <c r="B78" s="171" t="str">
        <f t="shared" si="149"/>
        <v/>
      </c>
      <c r="C78" s="230"/>
      <c r="D78" s="169"/>
      <c r="E78" s="165"/>
      <c r="F78" s="165"/>
      <c r="G78" s="165"/>
      <c r="H78" s="165"/>
      <c r="I78" s="168"/>
      <c r="J78" s="167"/>
      <c r="K78" s="168"/>
      <c r="L78" s="167"/>
      <c r="M78" s="167"/>
      <c r="N78" s="168"/>
      <c r="O78" s="168"/>
      <c r="P78" s="167"/>
      <c r="Q78" s="167"/>
      <c r="R78" s="167"/>
      <c r="S78" s="222" t="str">
        <f>IF(ISBLANK(A78),"",IF(ISNA(VLOOKUP(I78,Veg_Parameters!$A$3:$N$65,3,FALSE)),0,(VLOOKUP(I78,Veg_Parameters!$A$3:$N$65,3,FALSE))))</f>
        <v/>
      </c>
      <c r="T78" s="222" t="str">
        <f>IF(ISBLANK(N78),"",IF(ISNA(VLOOKUP(N78,Veg_Parameters!$A$3:$N$65,3,FALSE)),0,(VLOOKUP(N78,Veg_Parameters!$A$3:$N$65,3,FALSE))))</f>
        <v/>
      </c>
      <c r="U78" s="523">
        <f t="shared" si="131"/>
        <v>0</v>
      </c>
      <c r="V78" s="523">
        <f t="shared" si="108"/>
        <v>0</v>
      </c>
      <c r="W78" s="524">
        <f>IF(ISBLANK(A78),0,IF(ISNA(VLOOKUP($I78,Veg_Parameters!$A$3:$N$65,10,FALSE)),0,(VLOOKUP($I78,Veg_Parameters!$A$3:$N$65,10,FALSE))))</f>
        <v>0</v>
      </c>
      <c r="X78" s="524">
        <f>IF(ISBLANK(A78),0,IF(ISNA(VLOOKUP($I78,Veg_Parameters!$A$3:$N$65,11,FALSE)),0,(VLOOKUP($I78,Veg_Parameters!$A$3:$N$65,11,FALSE))))</f>
        <v>0</v>
      </c>
      <c r="Y78" s="524">
        <f>IF(ISBLANK(A78),0,IF(ISNA(VLOOKUP($I78,Veg_Parameters!$A$3:$N$65,12,FALSE)),0,(VLOOKUP($I78,Veg_Parameters!$A$3:$N$65,12,FALSE))))</f>
        <v>0</v>
      </c>
      <c r="Z78" s="525">
        <f t="shared" si="150"/>
        <v>0</v>
      </c>
      <c r="AA78" s="525">
        <f t="shared" si="109"/>
        <v>0</v>
      </c>
      <c r="AB78" s="525">
        <f t="shared" si="110"/>
        <v>0</v>
      </c>
      <c r="AC78" s="524">
        <f>IF(ISBLANK(N78),0,IF(ISNA(VLOOKUP($N78,Veg_Parameters!$A$3:$N$65,10,FALSE)),0,(VLOOKUP($N78,Veg_Parameters!$A$3:$N$65,10,FALSE))))</f>
        <v>0</v>
      </c>
      <c r="AD78" s="524">
        <f>IF(ISBLANK(N78),0,IF(ISNA(VLOOKUP($N78,Veg_Parameters!$A$3:$N$65,11,FALSE)),0,(VLOOKUP($N78,Veg_Parameters!$A$3:$N$65,11,FALSE))))</f>
        <v>0</v>
      </c>
      <c r="AE78" s="524">
        <f>IF(ISBLANK(N78), 0, IF(ISNA(VLOOKUP($N78,Veg_Parameters!$A$3:$N$65,12,FALSE)),0,(VLOOKUP($N78,Veg_Parameters!$A$3:$N$65,12,FALSE))))</f>
        <v>0</v>
      </c>
      <c r="AF78" s="523">
        <f t="shared" si="111"/>
        <v>0</v>
      </c>
      <c r="AG78" s="523">
        <f t="shared" si="112"/>
        <v>0</v>
      </c>
      <c r="AH78" s="523">
        <f t="shared" si="113"/>
        <v>0</v>
      </c>
      <c r="AI78" s="526"/>
      <c r="AJ78" s="527">
        <f>AB78*(IF(ISNA(VLOOKUP($I78,Veg_Parameters!$A$3:$N$65,5,FALSE)),0,(VLOOKUP($I78,Veg_Parameters!$A$3:$N$65,5,FALSE))))</f>
        <v>0</v>
      </c>
      <c r="AK78" s="527">
        <f>IF(ISNA(VLOOKUP($I78,Veg_Parameters!$A$3:$N$65,4,FALSE)),0,(VLOOKUP($I78,Veg_Parameters!$A$3:$N$65,4,FALSE)))</f>
        <v>0</v>
      </c>
      <c r="AL78" s="527">
        <f>AB78*(IF(ISNA(VLOOKUP($I78,Veg_Parameters!$A$3:$N$65,7,FALSE)),0, (VLOOKUP($I78,Veg_Parameters!$A$3:$N$65,7,FALSE))))</f>
        <v>0</v>
      </c>
      <c r="AM78" s="528">
        <f>IF(ISNA(VLOOKUP($I78,Veg_Parameters!$A$3:$N$65,6,FALSE)), 0, (VLOOKUP($I78,Veg_Parameters!$A$3:$N$65,6,FALSE)))</f>
        <v>0</v>
      </c>
      <c r="AN78" s="529">
        <f t="shared" si="114"/>
        <v>20</v>
      </c>
      <c r="AO78" s="529">
        <f t="shared" si="115"/>
        <v>0</v>
      </c>
      <c r="AP78" s="529">
        <f t="shared" si="116"/>
        <v>0</v>
      </c>
      <c r="AQ78" s="530">
        <f t="shared" si="132"/>
        <v>0</v>
      </c>
      <c r="AR78" s="527" t="s">
        <v>3</v>
      </c>
      <c r="AS78" s="527">
        <f>IF(ISNA(VLOOKUP($I78,Veg_Parameters!$A$3:$N$65,8,FALSE)), 0, (VLOOKUP($I78,Veg_Parameters!$A$3:$N$65,8,FALSE)))</f>
        <v>0</v>
      </c>
      <c r="AT78" s="527">
        <f>AB78*(IF(ISNA(VLOOKUP($I78,Veg_Parameters!$A$3:$N$65,9,FALSE)), 0, (VLOOKUP($I78,Veg_Parameters!$A$3:$N$65,9,FALSE))))</f>
        <v>0</v>
      </c>
      <c r="AU78" s="527">
        <f>IF(ISBLANK(A78),0,VLOOKUP($I78,Veg_Parameters!$A$4:$U$65,21,))</f>
        <v>0</v>
      </c>
      <c r="AV78" s="527">
        <f t="shared" si="133"/>
        <v>0</v>
      </c>
      <c r="AW78" s="529">
        <f t="shared" si="134"/>
        <v>0</v>
      </c>
      <c r="AX78" s="529">
        <f t="shared" si="135"/>
        <v>0</v>
      </c>
      <c r="AY78" s="529">
        <f t="shared" si="117"/>
        <v>0</v>
      </c>
      <c r="AZ78" s="529">
        <f t="shared" si="136"/>
        <v>0</v>
      </c>
      <c r="BA78" s="529">
        <f t="shared" si="137"/>
        <v>0</v>
      </c>
      <c r="BB78" s="529">
        <f t="shared" si="138"/>
        <v>0</v>
      </c>
      <c r="BC78" s="529">
        <f t="shared" si="118"/>
        <v>0</v>
      </c>
      <c r="BD78" s="531"/>
      <c r="BE78" s="527">
        <f>AH78*(IF(ISNA(VLOOKUP($N78,Veg_Parameters!$A$3:$N$65,5,FALSE)),0,(VLOOKUP($N78,Veg_Parameters!$A$3:$N$65,5,FALSE))))</f>
        <v>0</v>
      </c>
      <c r="BF78" s="527">
        <f>IF(ISNA(VLOOKUP($N78,Veg_Parameters!$A$3:$N$65,4,FALSE)),0,(VLOOKUP($N78,Veg_Parameters!$A$3:$N$65,4,FALSE)))</f>
        <v>0</v>
      </c>
      <c r="BG78" s="527">
        <f>AH78*(IF(ISNA(VLOOKUP($N78,Veg_Parameters!$A$3:$N$65,7,FALSE)),0, (VLOOKUP($N78,Veg_Parameters!$A$3:$N$65,7,FALSE))))</f>
        <v>0</v>
      </c>
      <c r="BH78" s="527">
        <f>IF(ISNA(VLOOKUP($N78,Veg_Parameters!$A$3:$N$65,6,FALSE)), 0, (VLOOKUP($N78,Veg_Parameters!$A$3:$N$65,6,FALSE)))</f>
        <v>0</v>
      </c>
      <c r="BI78" s="529">
        <f t="shared" si="119"/>
        <v>20</v>
      </c>
      <c r="BJ78" s="529">
        <f t="shared" si="139"/>
        <v>0</v>
      </c>
      <c r="BK78" s="529">
        <f t="shared" si="120"/>
        <v>0</v>
      </c>
      <c r="BL78" s="530">
        <f t="shared" si="140"/>
        <v>0</v>
      </c>
      <c r="BM78" s="527" t="s">
        <v>3</v>
      </c>
      <c r="BN78" s="527">
        <f>IF(ISNA(VLOOKUP(N78,Veg_Parameters!$A$3:$N$65,8,FALSE)), 0, (VLOOKUP($N78,Veg_Parameters!$A$3:$N$65,8,FALSE)))</f>
        <v>0</v>
      </c>
      <c r="BO78" s="527">
        <f>AH78*(IF(ISNA(VLOOKUP($N78,Veg_Parameters!$A$3:$N$65,9,FALSE)), 0, (VLOOKUP($N78,Veg_Parameters!$A$3:$N$65,9,FALSE))))</f>
        <v>0</v>
      </c>
      <c r="BP78" s="527" t="str">
        <f>IF(ISBLANK(N78),"0",VLOOKUP($N78,Veg_Parameters!$A$4:$U$65,21,))</f>
        <v>0</v>
      </c>
      <c r="BQ78" s="529">
        <f t="shared" si="141"/>
        <v>0</v>
      </c>
      <c r="BR78" s="529">
        <f t="shared" si="142"/>
        <v>0</v>
      </c>
      <c r="BS78" s="529">
        <f t="shared" si="121"/>
        <v>0</v>
      </c>
      <c r="BT78" s="529">
        <f t="shared" si="143"/>
        <v>0</v>
      </c>
      <c r="BU78" s="529">
        <f t="shared" si="144"/>
        <v>0</v>
      </c>
      <c r="BV78" s="529">
        <f t="shared" si="145"/>
        <v>0</v>
      </c>
      <c r="BW78" s="532" t="str">
        <f t="shared" si="122"/>
        <v/>
      </c>
      <c r="BX78" s="532" t="str">
        <f t="shared" si="123"/>
        <v/>
      </c>
      <c r="BY78" s="532" t="str">
        <f t="shared" si="124"/>
        <v/>
      </c>
      <c r="BZ78" s="532" t="str">
        <f t="shared" si="125"/>
        <v/>
      </c>
      <c r="CA78" s="532">
        <f t="shared" si="126"/>
        <v>0</v>
      </c>
      <c r="CB78" s="533"/>
      <c r="CC78" s="624">
        <f t="shared" si="127"/>
        <v>0</v>
      </c>
      <c r="CD78" s="534">
        <f t="shared" si="128"/>
        <v>0</v>
      </c>
      <c r="CE78" s="534">
        <f t="shared" si="129"/>
        <v>0</v>
      </c>
      <c r="CF78" s="534">
        <f t="shared" si="130"/>
        <v>0</v>
      </c>
      <c r="CG78" s="534"/>
      <c r="CH78" s="534"/>
      <c r="CI78" s="534">
        <f t="shared" si="146"/>
        <v>0</v>
      </c>
      <c r="CL78" s="534">
        <f>IF(ISNA(VLOOKUP(I78,Veg_Parameters!$A$3:$N$65,13,FALSE)),0,(VLOOKUP(I78,Veg_Parameters!$A$3:$N$65,13,FALSE)))</f>
        <v>0</v>
      </c>
      <c r="CM78" s="534">
        <f t="shared" si="147"/>
        <v>0</v>
      </c>
      <c r="CN78" s="534">
        <f>IF(ISNA(VLOOKUP(N78,Veg_Parameters!$A$3:$N$65,13,FALSE)),0,(VLOOKUP(N78,Veg_Parameters!$A$3:$N$65,13,FALSE)))</f>
        <v>0</v>
      </c>
      <c r="CO78" s="523">
        <f t="shared" si="148"/>
        <v>0</v>
      </c>
    </row>
    <row r="79" spans="1:93" x14ac:dyDescent="0.2">
      <c r="A79" s="230"/>
      <c r="B79" s="171" t="str">
        <f t="shared" si="149"/>
        <v/>
      </c>
      <c r="C79" s="230"/>
      <c r="D79" s="169"/>
      <c r="E79" s="165"/>
      <c r="F79" s="165"/>
      <c r="G79" s="165"/>
      <c r="H79" s="165"/>
      <c r="I79" s="168"/>
      <c r="J79" s="167"/>
      <c r="K79" s="168"/>
      <c r="L79" s="167"/>
      <c r="M79" s="167"/>
      <c r="N79" s="168"/>
      <c r="O79" s="168"/>
      <c r="P79" s="167"/>
      <c r="Q79" s="167"/>
      <c r="R79" s="167"/>
      <c r="S79" s="222" t="str">
        <f>IF(ISBLANK(A79),"",IF(ISNA(VLOOKUP(I79,Veg_Parameters!$A$3:$N$65,3,FALSE)),0,(VLOOKUP(I79,Veg_Parameters!$A$3:$N$65,3,FALSE))))</f>
        <v/>
      </c>
      <c r="T79" s="222" t="str">
        <f>IF(ISBLANK(N79),"",IF(ISNA(VLOOKUP(N79,Veg_Parameters!$A$3:$N$65,3,FALSE)),0,(VLOOKUP(N79,Veg_Parameters!$A$3:$N$65,3,FALSE))))</f>
        <v/>
      </c>
      <c r="U79" s="523">
        <f t="shared" si="131"/>
        <v>0</v>
      </c>
      <c r="V79" s="523">
        <f t="shared" si="108"/>
        <v>0</v>
      </c>
      <c r="W79" s="524">
        <f>IF(ISBLANK(A79),0,IF(ISNA(VLOOKUP($I79,Veg_Parameters!$A$3:$N$65,10,FALSE)),0,(VLOOKUP($I79,Veg_Parameters!$A$3:$N$65,10,FALSE))))</f>
        <v>0</v>
      </c>
      <c r="X79" s="524">
        <f>IF(ISBLANK(A79),0,IF(ISNA(VLOOKUP($I79,Veg_Parameters!$A$3:$N$65,11,FALSE)),0,(VLOOKUP($I79,Veg_Parameters!$A$3:$N$65,11,FALSE))))</f>
        <v>0</v>
      </c>
      <c r="Y79" s="524">
        <f>IF(ISBLANK(A79),0,IF(ISNA(VLOOKUP($I79,Veg_Parameters!$A$3:$N$65,12,FALSE)),0,(VLOOKUP($I79,Veg_Parameters!$A$3:$N$65,12,FALSE))))</f>
        <v>0</v>
      </c>
      <c r="Z79" s="525">
        <f t="shared" si="150"/>
        <v>0</v>
      </c>
      <c r="AA79" s="525">
        <f t="shared" si="109"/>
        <v>0</v>
      </c>
      <c r="AB79" s="525">
        <f t="shared" si="110"/>
        <v>0</v>
      </c>
      <c r="AC79" s="524">
        <f>IF(ISBLANK(N79),0,IF(ISNA(VLOOKUP($N79,Veg_Parameters!$A$3:$N$65,10,FALSE)),0,(VLOOKUP($N79,Veg_Parameters!$A$3:$N$65,10,FALSE))))</f>
        <v>0</v>
      </c>
      <c r="AD79" s="524">
        <f>IF(ISBLANK(N79),0,IF(ISNA(VLOOKUP($N79,Veg_Parameters!$A$3:$N$65,11,FALSE)),0,(VLOOKUP($N79,Veg_Parameters!$A$3:$N$65,11,FALSE))))</f>
        <v>0</v>
      </c>
      <c r="AE79" s="524">
        <f>IF(ISBLANK(N79), 0, IF(ISNA(VLOOKUP($N79,Veg_Parameters!$A$3:$N$65,12,FALSE)),0,(VLOOKUP($N79,Veg_Parameters!$A$3:$N$65,12,FALSE))))</f>
        <v>0</v>
      </c>
      <c r="AF79" s="523">
        <f t="shared" si="111"/>
        <v>0</v>
      </c>
      <c r="AG79" s="523">
        <f t="shared" si="112"/>
        <v>0</v>
      </c>
      <c r="AH79" s="523">
        <f t="shared" si="113"/>
        <v>0</v>
      </c>
      <c r="AI79" s="526"/>
      <c r="AJ79" s="527">
        <f>AB79*(IF(ISNA(VLOOKUP($I79,Veg_Parameters!$A$3:$N$65,5,FALSE)),0,(VLOOKUP($I79,Veg_Parameters!$A$3:$N$65,5,FALSE))))</f>
        <v>0</v>
      </c>
      <c r="AK79" s="527">
        <f>IF(ISNA(VLOOKUP($I79,Veg_Parameters!$A$3:$N$65,4,FALSE)),0,(VLOOKUP($I79,Veg_Parameters!$A$3:$N$65,4,FALSE)))</f>
        <v>0</v>
      </c>
      <c r="AL79" s="527">
        <f>AB79*(IF(ISNA(VLOOKUP($I79,Veg_Parameters!$A$3:$N$65,7,FALSE)),0, (VLOOKUP($I79,Veg_Parameters!$A$3:$N$65,7,FALSE))))</f>
        <v>0</v>
      </c>
      <c r="AM79" s="528">
        <f>IF(ISNA(VLOOKUP($I79,Veg_Parameters!$A$3:$N$65,6,FALSE)), 0, (VLOOKUP($I79,Veg_Parameters!$A$3:$N$65,6,FALSE)))</f>
        <v>0</v>
      </c>
      <c r="AN79" s="529">
        <f t="shared" si="114"/>
        <v>20</v>
      </c>
      <c r="AO79" s="529">
        <f t="shared" si="115"/>
        <v>0</v>
      </c>
      <c r="AP79" s="529">
        <f t="shared" si="116"/>
        <v>0</v>
      </c>
      <c r="AQ79" s="530">
        <f t="shared" si="132"/>
        <v>0</v>
      </c>
      <c r="AR79" s="527" t="s">
        <v>3</v>
      </c>
      <c r="AS79" s="527">
        <f>IF(ISNA(VLOOKUP($I79,Veg_Parameters!$A$3:$N$65,8,FALSE)), 0, (VLOOKUP($I79,Veg_Parameters!$A$3:$N$65,8,FALSE)))</f>
        <v>0</v>
      </c>
      <c r="AT79" s="527">
        <f>AB79*(IF(ISNA(VLOOKUP($I79,Veg_Parameters!$A$3:$N$65,9,FALSE)), 0, (VLOOKUP($I79,Veg_Parameters!$A$3:$N$65,9,FALSE))))</f>
        <v>0</v>
      </c>
      <c r="AU79" s="527">
        <f>IF(ISBLANK(A79),0,VLOOKUP($I79,Veg_Parameters!$A$4:$U$65,21,))</f>
        <v>0</v>
      </c>
      <c r="AV79" s="527">
        <f t="shared" si="133"/>
        <v>0</v>
      </c>
      <c r="AW79" s="529">
        <f t="shared" si="134"/>
        <v>0</v>
      </c>
      <c r="AX79" s="529">
        <f t="shared" si="135"/>
        <v>0</v>
      </c>
      <c r="AY79" s="529">
        <f t="shared" si="117"/>
        <v>0</v>
      </c>
      <c r="AZ79" s="529">
        <f t="shared" si="136"/>
        <v>0</v>
      </c>
      <c r="BA79" s="529">
        <f t="shared" si="137"/>
        <v>0</v>
      </c>
      <c r="BB79" s="529">
        <f t="shared" si="138"/>
        <v>0</v>
      </c>
      <c r="BC79" s="529">
        <f t="shared" si="118"/>
        <v>0</v>
      </c>
      <c r="BD79" s="531"/>
      <c r="BE79" s="527">
        <f>AH79*(IF(ISNA(VLOOKUP($N79,Veg_Parameters!$A$3:$N$65,5,FALSE)),0,(VLOOKUP($N79,Veg_Parameters!$A$3:$N$65,5,FALSE))))</f>
        <v>0</v>
      </c>
      <c r="BF79" s="527">
        <f>IF(ISNA(VLOOKUP($N79,Veg_Parameters!$A$3:$N$65,4,FALSE)),0,(VLOOKUP($N79,Veg_Parameters!$A$3:$N$65,4,FALSE)))</f>
        <v>0</v>
      </c>
      <c r="BG79" s="527">
        <f>AH79*(IF(ISNA(VLOOKUP($N79,Veg_Parameters!$A$3:$N$65,7,FALSE)),0, (VLOOKUP($N79,Veg_Parameters!$A$3:$N$65,7,FALSE))))</f>
        <v>0</v>
      </c>
      <c r="BH79" s="527">
        <f>IF(ISNA(VLOOKUP($N79,Veg_Parameters!$A$3:$N$65,6,FALSE)), 0, (VLOOKUP($N79,Veg_Parameters!$A$3:$N$65,6,FALSE)))</f>
        <v>0</v>
      </c>
      <c r="BI79" s="529">
        <f t="shared" si="119"/>
        <v>20</v>
      </c>
      <c r="BJ79" s="529">
        <f t="shared" si="139"/>
        <v>0</v>
      </c>
      <c r="BK79" s="529">
        <f t="shared" si="120"/>
        <v>0</v>
      </c>
      <c r="BL79" s="530">
        <f t="shared" si="140"/>
        <v>0</v>
      </c>
      <c r="BM79" s="527" t="s">
        <v>3</v>
      </c>
      <c r="BN79" s="527">
        <f>IF(ISNA(VLOOKUP(N79,Veg_Parameters!$A$3:$N$65,8,FALSE)), 0, (VLOOKUP($N79,Veg_Parameters!$A$3:$N$65,8,FALSE)))</f>
        <v>0</v>
      </c>
      <c r="BO79" s="527">
        <f>AH79*(IF(ISNA(VLOOKUP($N79,Veg_Parameters!$A$3:$N$65,9,FALSE)), 0, (VLOOKUP($N79,Veg_Parameters!$A$3:$N$65,9,FALSE))))</f>
        <v>0</v>
      </c>
      <c r="BP79" s="527" t="str">
        <f>IF(ISBLANK(N79),"0",VLOOKUP($N79,Veg_Parameters!$A$4:$U$65,21,))</f>
        <v>0</v>
      </c>
      <c r="BQ79" s="529">
        <f t="shared" si="141"/>
        <v>0</v>
      </c>
      <c r="BR79" s="529">
        <f t="shared" si="142"/>
        <v>0</v>
      </c>
      <c r="BS79" s="529">
        <f t="shared" si="121"/>
        <v>0</v>
      </c>
      <c r="BT79" s="529">
        <f t="shared" si="143"/>
        <v>0</v>
      </c>
      <c r="BU79" s="529">
        <f t="shared" si="144"/>
        <v>0</v>
      </c>
      <c r="BV79" s="529">
        <f t="shared" si="145"/>
        <v>0</v>
      </c>
      <c r="BW79" s="532" t="str">
        <f t="shared" si="122"/>
        <v/>
      </c>
      <c r="BX79" s="532" t="str">
        <f t="shared" si="123"/>
        <v/>
      </c>
      <c r="BY79" s="532" t="str">
        <f t="shared" si="124"/>
        <v/>
      </c>
      <c r="BZ79" s="532" t="str">
        <f t="shared" si="125"/>
        <v/>
      </c>
      <c r="CA79" s="532">
        <f t="shared" si="126"/>
        <v>0</v>
      </c>
      <c r="CB79" s="533"/>
      <c r="CC79" s="624">
        <f t="shared" si="127"/>
        <v>0</v>
      </c>
      <c r="CD79" s="534">
        <f t="shared" si="128"/>
        <v>0</v>
      </c>
      <c r="CE79" s="534">
        <f t="shared" si="129"/>
        <v>0</v>
      </c>
      <c r="CF79" s="534">
        <f t="shared" si="130"/>
        <v>0</v>
      </c>
      <c r="CG79" s="534"/>
      <c r="CH79" s="534"/>
      <c r="CI79" s="534">
        <f t="shared" si="146"/>
        <v>0</v>
      </c>
      <c r="CL79" s="534">
        <f>IF(ISNA(VLOOKUP(I79,Veg_Parameters!$A$3:$N$65,13,FALSE)),0,(VLOOKUP(I79,Veg_Parameters!$A$3:$N$65,13,FALSE)))</f>
        <v>0</v>
      </c>
      <c r="CM79" s="534">
        <f t="shared" si="147"/>
        <v>0</v>
      </c>
      <c r="CN79" s="534">
        <f>IF(ISNA(VLOOKUP(N79,Veg_Parameters!$A$3:$N$65,13,FALSE)),0,(VLOOKUP(N79,Veg_Parameters!$A$3:$N$65,13,FALSE)))</f>
        <v>0</v>
      </c>
      <c r="CO79" s="523">
        <f t="shared" si="148"/>
        <v>0</v>
      </c>
    </row>
    <row r="80" spans="1:93" x14ac:dyDescent="0.2">
      <c r="A80" s="230"/>
      <c r="B80" s="171" t="str">
        <f t="shared" si="149"/>
        <v/>
      </c>
      <c r="C80" s="230"/>
      <c r="D80" s="169"/>
      <c r="E80" s="165"/>
      <c r="F80" s="165"/>
      <c r="G80" s="165"/>
      <c r="H80" s="165"/>
      <c r="I80" s="168"/>
      <c r="J80" s="167"/>
      <c r="K80" s="168"/>
      <c r="L80" s="167"/>
      <c r="M80" s="167"/>
      <c r="N80" s="168"/>
      <c r="O80" s="168"/>
      <c r="P80" s="167"/>
      <c r="Q80" s="167"/>
      <c r="R80" s="167"/>
      <c r="S80" s="222" t="str">
        <f>IF(ISBLANK(A80),"",IF(ISNA(VLOOKUP(I80,Veg_Parameters!$A$3:$N$65,3,FALSE)),0,(VLOOKUP(I80,Veg_Parameters!$A$3:$N$65,3,FALSE))))</f>
        <v/>
      </c>
      <c r="T80" s="222" t="str">
        <f>IF(ISBLANK(N80),"",IF(ISNA(VLOOKUP(N80,Veg_Parameters!$A$3:$N$65,3,FALSE)),0,(VLOOKUP(N80,Veg_Parameters!$A$3:$N$65,3,FALSE))))</f>
        <v/>
      </c>
      <c r="U80" s="523">
        <f t="shared" si="131"/>
        <v>0</v>
      </c>
      <c r="V80" s="523">
        <f t="shared" si="108"/>
        <v>0</v>
      </c>
      <c r="W80" s="524">
        <f>IF(ISBLANK(A80),0,IF(ISNA(VLOOKUP($I80,Veg_Parameters!$A$3:$N$65,10,FALSE)),0,(VLOOKUP($I80,Veg_Parameters!$A$3:$N$65,10,FALSE))))</f>
        <v>0</v>
      </c>
      <c r="X80" s="524">
        <f>IF(ISBLANK(A80),0,IF(ISNA(VLOOKUP($I80,Veg_Parameters!$A$3:$N$65,11,FALSE)),0,(VLOOKUP($I80,Veg_Parameters!$A$3:$N$65,11,FALSE))))</f>
        <v>0</v>
      </c>
      <c r="Y80" s="524">
        <f>IF(ISBLANK(A80),0,IF(ISNA(VLOOKUP($I80,Veg_Parameters!$A$3:$N$65,12,FALSE)),0,(VLOOKUP($I80,Veg_Parameters!$A$3:$N$65,12,FALSE))))</f>
        <v>0</v>
      </c>
      <c r="Z80" s="525">
        <f t="shared" si="150"/>
        <v>0</v>
      </c>
      <c r="AA80" s="525">
        <f t="shared" si="109"/>
        <v>0</v>
      </c>
      <c r="AB80" s="525">
        <f t="shared" si="110"/>
        <v>0</v>
      </c>
      <c r="AC80" s="524">
        <f>IF(ISBLANK(N80),0,IF(ISNA(VLOOKUP($N80,Veg_Parameters!$A$3:$N$65,10,FALSE)),0,(VLOOKUP($N80,Veg_Parameters!$A$3:$N$65,10,FALSE))))</f>
        <v>0</v>
      </c>
      <c r="AD80" s="524">
        <f>IF(ISBLANK(N80),0,IF(ISNA(VLOOKUP($N80,Veg_Parameters!$A$3:$N$65,11,FALSE)),0,(VLOOKUP($N80,Veg_Parameters!$A$3:$N$65,11,FALSE))))</f>
        <v>0</v>
      </c>
      <c r="AE80" s="524">
        <f>IF(ISBLANK(N80), 0, IF(ISNA(VLOOKUP($N80,Veg_Parameters!$A$3:$N$65,12,FALSE)),0,(VLOOKUP($N80,Veg_Parameters!$A$3:$N$65,12,FALSE))))</f>
        <v>0</v>
      </c>
      <c r="AF80" s="523">
        <f t="shared" si="111"/>
        <v>0</v>
      </c>
      <c r="AG80" s="523">
        <f t="shared" si="112"/>
        <v>0</v>
      </c>
      <c r="AH80" s="523">
        <f t="shared" si="113"/>
        <v>0</v>
      </c>
      <c r="AI80" s="526"/>
      <c r="AJ80" s="527">
        <f>AB80*(IF(ISNA(VLOOKUP($I80,Veg_Parameters!$A$3:$N$65,5,FALSE)),0,(VLOOKUP($I80,Veg_Parameters!$A$3:$N$65,5,FALSE))))</f>
        <v>0</v>
      </c>
      <c r="AK80" s="527">
        <f>IF(ISNA(VLOOKUP($I80,Veg_Parameters!$A$3:$N$65,4,FALSE)),0,(VLOOKUP($I80,Veg_Parameters!$A$3:$N$65,4,FALSE)))</f>
        <v>0</v>
      </c>
      <c r="AL80" s="527">
        <f>AB80*(IF(ISNA(VLOOKUP($I80,Veg_Parameters!$A$3:$N$65,7,FALSE)),0, (VLOOKUP($I80,Veg_Parameters!$A$3:$N$65,7,FALSE))))</f>
        <v>0</v>
      </c>
      <c r="AM80" s="528">
        <f>IF(ISNA(VLOOKUP($I80,Veg_Parameters!$A$3:$N$65,6,FALSE)), 0, (VLOOKUP($I80,Veg_Parameters!$A$3:$N$65,6,FALSE)))</f>
        <v>0</v>
      </c>
      <c r="AN80" s="529">
        <f t="shared" si="114"/>
        <v>20</v>
      </c>
      <c r="AO80" s="529">
        <f t="shared" si="115"/>
        <v>0</v>
      </c>
      <c r="AP80" s="529">
        <f t="shared" si="116"/>
        <v>0</v>
      </c>
      <c r="AQ80" s="530">
        <f t="shared" si="132"/>
        <v>0</v>
      </c>
      <c r="AR80" s="527" t="s">
        <v>3</v>
      </c>
      <c r="AS80" s="527">
        <f>IF(ISNA(VLOOKUP($I80,Veg_Parameters!$A$3:$N$65,8,FALSE)), 0, (VLOOKUP($I80,Veg_Parameters!$A$3:$N$65,8,FALSE)))</f>
        <v>0</v>
      </c>
      <c r="AT80" s="527">
        <f>AB80*(IF(ISNA(VLOOKUP($I80,Veg_Parameters!$A$3:$N$65,9,FALSE)), 0, (VLOOKUP($I80,Veg_Parameters!$A$3:$N$65,9,FALSE))))</f>
        <v>0</v>
      </c>
      <c r="AU80" s="527">
        <f>IF(ISBLANK(A80),0,VLOOKUP($I80,Veg_Parameters!$A$4:$U$65,21,))</f>
        <v>0</v>
      </c>
      <c r="AV80" s="527">
        <f t="shared" si="133"/>
        <v>0</v>
      </c>
      <c r="AW80" s="529">
        <f t="shared" si="134"/>
        <v>0</v>
      </c>
      <c r="AX80" s="529">
        <f t="shared" si="135"/>
        <v>0</v>
      </c>
      <c r="AY80" s="529">
        <f t="shared" si="117"/>
        <v>0</v>
      </c>
      <c r="AZ80" s="529">
        <f t="shared" si="136"/>
        <v>0</v>
      </c>
      <c r="BA80" s="529">
        <f t="shared" si="137"/>
        <v>0</v>
      </c>
      <c r="BB80" s="529">
        <f t="shared" si="138"/>
        <v>0</v>
      </c>
      <c r="BC80" s="529">
        <f t="shared" si="118"/>
        <v>0</v>
      </c>
      <c r="BD80" s="531"/>
      <c r="BE80" s="527">
        <f>AH80*(IF(ISNA(VLOOKUP($N80,Veg_Parameters!$A$3:$N$65,5,FALSE)),0,(VLOOKUP($N80,Veg_Parameters!$A$3:$N$65,5,FALSE))))</f>
        <v>0</v>
      </c>
      <c r="BF80" s="527">
        <f>IF(ISNA(VLOOKUP($N80,Veg_Parameters!$A$3:$N$65,4,FALSE)),0,(VLOOKUP($N80,Veg_Parameters!$A$3:$N$65,4,FALSE)))</f>
        <v>0</v>
      </c>
      <c r="BG80" s="527">
        <f>AH80*(IF(ISNA(VLOOKUP($N80,Veg_Parameters!$A$3:$N$65,7,FALSE)),0, (VLOOKUP($N80,Veg_Parameters!$A$3:$N$65,7,FALSE))))</f>
        <v>0</v>
      </c>
      <c r="BH80" s="527">
        <f>IF(ISNA(VLOOKUP($N80,Veg_Parameters!$A$3:$N$65,6,FALSE)), 0, (VLOOKUP($N80,Veg_Parameters!$A$3:$N$65,6,FALSE)))</f>
        <v>0</v>
      </c>
      <c r="BI80" s="529">
        <f t="shared" si="119"/>
        <v>20</v>
      </c>
      <c r="BJ80" s="529">
        <f t="shared" si="139"/>
        <v>0</v>
      </c>
      <c r="BK80" s="529">
        <f t="shared" si="120"/>
        <v>0</v>
      </c>
      <c r="BL80" s="530">
        <f t="shared" si="140"/>
        <v>0</v>
      </c>
      <c r="BM80" s="527" t="s">
        <v>3</v>
      </c>
      <c r="BN80" s="527">
        <f>IF(ISNA(VLOOKUP(N80,Veg_Parameters!$A$3:$N$65,8,FALSE)), 0, (VLOOKUP($N80,Veg_Parameters!$A$3:$N$65,8,FALSE)))</f>
        <v>0</v>
      </c>
      <c r="BO80" s="527">
        <f>AH80*(IF(ISNA(VLOOKUP($N80,Veg_Parameters!$A$3:$N$65,9,FALSE)), 0, (VLOOKUP($N80,Veg_Parameters!$A$3:$N$65,9,FALSE))))</f>
        <v>0</v>
      </c>
      <c r="BP80" s="527" t="str">
        <f>IF(ISBLANK(N80),"0",VLOOKUP($N80,Veg_Parameters!$A$4:$U$65,21,))</f>
        <v>0</v>
      </c>
      <c r="BQ80" s="529">
        <f t="shared" si="141"/>
        <v>0</v>
      </c>
      <c r="BR80" s="529">
        <f t="shared" si="142"/>
        <v>0</v>
      </c>
      <c r="BS80" s="529">
        <f t="shared" si="121"/>
        <v>0</v>
      </c>
      <c r="BT80" s="529">
        <f t="shared" si="143"/>
        <v>0</v>
      </c>
      <c r="BU80" s="529">
        <f t="shared" si="144"/>
        <v>0</v>
      </c>
      <c r="BV80" s="529">
        <f t="shared" si="145"/>
        <v>0</v>
      </c>
      <c r="BW80" s="532" t="str">
        <f t="shared" si="122"/>
        <v/>
      </c>
      <c r="BX80" s="532" t="str">
        <f t="shared" si="123"/>
        <v/>
      </c>
      <c r="BY80" s="532" t="str">
        <f t="shared" si="124"/>
        <v/>
      </c>
      <c r="BZ80" s="532" t="str">
        <f t="shared" si="125"/>
        <v/>
      </c>
      <c r="CA80" s="532">
        <f t="shared" si="126"/>
        <v>0</v>
      </c>
      <c r="CB80" s="533"/>
      <c r="CC80" s="624">
        <f t="shared" si="127"/>
        <v>0</v>
      </c>
      <c r="CD80" s="534">
        <f t="shared" si="128"/>
        <v>0</v>
      </c>
      <c r="CE80" s="534">
        <f t="shared" si="129"/>
        <v>0</v>
      </c>
      <c r="CF80" s="534">
        <f t="shared" si="130"/>
        <v>0</v>
      </c>
      <c r="CG80" s="534"/>
      <c r="CH80" s="534"/>
      <c r="CI80" s="534">
        <f t="shared" si="146"/>
        <v>0</v>
      </c>
      <c r="CL80" s="534">
        <f>IF(ISNA(VLOOKUP(I80,Veg_Parameters!$A$3:$N$65,13,FALSE)),0,(VLOOKUP(I80,Veg_Parameters!$A$3:$N$65,13,FALSE)))</f>
        <v>0</v>
      </c>
      <c r="CM80" s="534">
        <f t="shared" si="147"/>
        <v>0</v>
      </c>
      <c r="CN80" s="534">
        <f>IF(ISNA(VLOOKUP(N80,Veg_Parameters!$A$3:$N$65,13,FALSE)),0,(VLOOKUP(N80,Veg_Parameters!$A$3:$N$65,13,FALSE)))</f>
        <v>0</v>
      </c>
      <c r="CO80" s="523">
        <f t="shared" si="148"/>
        <v>0</v>
      </c>
    </row>
    <row r="81" spans="1:93" x14ac:dyDescent="0.2">
      <c r="A81" s="230"/>
      <c r="B81" s="171" t="str">
        <f t="shared" si="149"/>
        <v/>
      </c>
      <c r="C81" s="230"/>
      <c r="D81" s="169"/>
      <c r="E81" s="165"/>
      <c r="F81" s="165"/>
      <c r="G81" s="165"/>
      <c r="H81" s="165"/>
      <c r="I81" s="168"/>
      <c r="J81" s="167"/>
      <c r="K81" s="168"/>
      <c r="L81" s="167"/>
      <c r="M81" s="167"/>
      <c r="N81" s="168"/>
      <c r="O81" s="168"/>
      <c r="P81" s="167"/>
      <c r="Q81" s="167"/>
      <c r="R81" s="167"/>
      <c r="S81" s="222" t="str">
        <f>IF(ISBLANK(A81),"",IF(ISNA(VLOOKUP(I81,Veg_Parameters!$A$3:$N$65,3,FALSE)),0,(VLOOKUP(I81,Veg_Parameters!$A$3:$N$65,3,FALSE))))</f>
        <v/>
      </c>
      <c r="T81" s="222" t="str">
        <f>IF(ISBLANK(N81),"",IF(ISNA(VLOOKUP(N81,Veg_Parameters!$A$3:$N$65,3,FALSE)),0,(VLOOKUP(N81,Veg_Parameters!$A$3:$N$65,3,FALSE))))</f>
        <v/>
      </c>
      <c r="U81" s="523">
        <f t="shared" si="131"/>
        <v>0</v>
      </c>
      <c r="V81" s="523">
        <f t="shared" si="108"/>
        <v>0</v>
      </c>
      <c r="W81" s="524">
        <f>IF(ISBLANK(A81),0,IF(ISNA(VLOOKUP($I81,Veg_Parameters!$A$3:$N$65,10,FALSE)),0,(VLOOKUP($I81,Veg_Parameters!$A$3:$N$65,10,FALSE))))</f>
        <v>0</v>
      </c>
      <c r="X81" s="524">
        <f>IF(ISBLANK(A81),0,IF(ISNA(VLOOKUP($I81,Veg_Parameters!$A$3:$N$65,11,FALSE)),0,(VLOOKUP($I81,Veg_Parameters!$A$3:$N$65,11,FALSE))))</f>
        <v>0</v>
      </c>
      <c r="Y81" s="524">
        <f>IF(ISBLANK(A81),0,IF(ISNA(VLOOKUP($I81,Veg_Parameters!$A$3:$N$65,12,FALSE)),0,(VLOOKUP($I81,Veg_Parameters!$A$3:$N$65,12,FALSE))))</f>
        <v>0</v>
      </c>
      <c r="Z81" s="525">
        <f t="shared" si="150"/>
        <v>0</v>
      </c>
      <c r="AA81" s="525">
        <f t="shared" si="109"/>
        <v>0</v>
      </c>
      <c r="AB81" s="525">
        <f t="shared" si="110"/>
        <v>0</v>
      </c>
      <c r="AC81" s="524">
        <f>IF(ISBLANK(N81),0,IF(ISNA(VLOOKUP($N81,Veg_Parameters!$A$3:$N$65,10,FALSE)),0,(VLOOKUP($N81,Veg_Parameters!$A$3:$N$65,10,FALSE))))</f>
        <v>0</v>
      </c>
      <c r="AD81" s="524">
        <f>IF(ISBLANK(N81),0,IF(ISNA(VLOOKUP($N81,Veg_Parameters!$A$3:$N$65,11,FALSE)),0,(VLOOKUP($N81,Veg_Parameters!$A$3:$N$65,11,FALSE))))</f>
        <v>0</v>
      </c>
      <c r="AE81" s="524">
        <f>IF(ISBLANK(N81), 0, IF(ISNA(VLOOKUP($N81,Veg_Parameters!$A$3:$N$65,12,FALSE)),0,(VLOOKUP($N81,Veg_Parameters!$A$3:$N$65,12,FALSE))))</f>
        <v>0</v>
      </c>
      <c r="AF81" s="523">
        <f t="shared" si="111"/>
        <v>0</v>
      </c>
      <c r="AG81" s="523">
        <f t="shared" si="112"/>
        <v>0</v>
      </c>
      <c r="AH81" s="523">
        <f t="shared" si="113"/>
        <v>0</v>
      </c>
      <c r="AI81" s="526"/>
      <c r="AJ81" s="527">
        <f>AB81*(IF(ISNA(VLOOKUP($I81,Veg_Parameters!$A$3:$N$65,5,FALSE)),0,(VLOOKUP($I81,Veg_Parameters!$A$3:$N$65,5,FALSE))))</f>
        <v>0</v>
      </c>
      <c r="AK81" s="527">
        <f>IF(ISNA(VLOOKUP($I81,Veg_Parameters!$A$3:$N$65,4,FALSE)),0,(VLOOKUP($I81,Veg_Parameters!$A$3:$N$65,4,FALSE)))</f>
        <v>0</v>
      </c>
      <c r="AL81" s="527">
        <f>AB81*(IF(ISNA(VLOOKUP($I81,Veg_Parameters!$A$3:$N$65,7,FALSE)),0, (VLOOKUP($I81,Veg_Parameters!$A$3:$N$65,7,FALSE))))</f>
        <v>0</v>
      </c>
      <c r="AM81" s="528">
        <f>IF(ISNA(VLOOKUP($I81,Veg_Parameters!$A$3:$N$65,6,FALSE)), 0, (VLOOKUP($I81,Veg_Parameters!$A$3:$N$65,6,FALSE)))</f>
        <v>0</v>
      </c>
      <c r="AN81" s="529">
        <f t="shared" si="114"/>
        <v>20</v>
      </c>
      <c r="AO81" s="529">
        <f t="shared" si="115"/>
        <v>0</v>
      </c>
      <c r="AP81" s="529">
        <f t="shared" si="116"/>
        <v>0</v>
      </c>
      <c r="AQ81" s="530">
        <f t="shared" si="132"/>
        <v>0</v>
      </c>
      <c r="AR81" s="527" t="s">
        <v>3</v>
      </c>
      <c r="AS81" s="527">
        <f>IF(ISNA(VLOOKUP($I81,Veg_Parameters!$A$3:$N$65,8,FALSE)), 0, (VLOOKUP($I81,Veg_Parameters!$A$3:$N$65,8,FALSE)))</f>
        <v>0</v>
      </c>
      <c r="AT81" s="527">
        <f>AB81*(IF(ISNA(VLOOKUP($I81,Veg_Parameters!$A$3:$N$65,9,FALSE)), 0, (VLOOKUP($I81,Veg_Parameters!$A$3:$N$65,9,FALSE))))</f>
        <v>0</v>
      </c>
      <c r="AU81" s="527">
        <f>IF(ISBLANK(A81),0,VLOOKUP($I81,Veg_Parameters!$A$4:$U$65,21,))</f>
        <v>0</v>
      </c>
      <c r="AV81" s="527">
        <f t="shared" si="133"/>
        <v>0</v>
      </c>
      <c r="AW81" s="529">
        <f t="shared" si="134"/>
        <v>0</v>
      </c>
      <c r="AX81" s="529">
        <f t="shared" si="135"/>
        <v>0</v>
      </c>
      <c r="AY81" s="529">
        <f t="shared" si="117"/>
        <v>0</v>
      </c>
      <c r="AZ81" s="529">
        <f t="shared" si="136"/>
        <v>0</v>
      </c>
      <c r="BA81" s="529">
        <f t="shared" si="137"/>
        <v>0</v>
      </c>
      <c r="BB81" s="529">
        <f t="shared" si="138"/>
        <v>0</v>
      </c>
      <c r="BC81" s="529">
        <f t="shared" si="118"/>
        <v>0</v>
      </c>
      <c r="BD81" s="531"/>
      <c r="BE81" s="527">
        <f>AH81*(IF(ISNA(VLOOKUP($N81,Veg_Parameters!$A$3:$N$65,5,FALSE)),0,(VLOOKUP($N81,Veg_Parameters!$A$3:$N$65,5,FALSE))))</f>
        <v>0</v>
      </c>
      <c r="BF81" s="527">
        <f>IF(ISNA(VLOOKUP($N81,Veg_Parameters!$A$3:$N$65,4,FALSE)),0,(VLOOKUP($N81,Veg_Parameters!$A$3:$N$65,4,FALSE)))</f>
        <v>0</v>
      </c>
      <c r="BG81" s="527">
        <f>AH81*(IF(ISNA(VLOOKUP($N81,Veg_Parameters!$A$3:$N$65,7,FALSE)),0, (VLOOKUP($N81,Veg_Parameters!$A$3:$N$65,7,FALSE))))</f>
        <v>0</v>
      </c>
      <c r="BH81" s="527">
        <f>IF(ISNA(VLOOKUP($N81,Veg_Parameters!$A$3:$N$65,6,FALSE)), 0, (VLOOKUP($N81,Veg_Parameters!$A$3:$N$65,6,FALSE)))</f>
        <v>0</v>
      </c>
      <c r="BI81" s="529">
        <f t="shared" si="119"/>
        <v>20</v>
      </c>
      <c r="BJ81" s="529">
        <f t="shared" si="139"/>
        <v>0</v>
      </c>
      <c r="BK81" s="529">
        <f t="shared" si="120"/>
        <v>0</v>
      </c>
      <c r="BL81" s="530">
        <f t="shared" si="140"/>
        <v>0</v>
      </c>
      <c r="BM81" s="527" t="s">
        <v>3</v>
      </c>
      <c r="BN81" s="527">
        <f>IF(ISNA(VLOOKUP(N81,Veg_Parameters!$A$3:$N$65,8,FALSE)), 0, (VLOOKUP($N81,Veg_Parameters!$A$3:$N$65,8,FALSE)))</f>
        <v>0</v>
      </c>
      <c r="BO81" s="527">
        <f>AH81*(IF(ISNA(VLOOKUP($N81,Veg_Parameters!$A$3:$N$65,9,FALSE)), 0, (VLOOKUP($N81,Veg_Parameters!$A$3:$N$65,9,FALSE))))</f>
        <v>0</v>
      </c>
      <c r="BP81" s="527" t="str">
        <f>IF(ISBLANK(N81),"0",VLOOKUP($N81,Veg_Parameters!$A$4:$U$65,21,))</f>
        <v>0</v>
      </c>
      <c r="BQ81" s="529">
        <f t="shared" si="141"/>
        <v>0</v>
      </c>
      <c r="BR81" s="529">
        <f t="shared" si="142"/>
        <v>0</v>
      </c>
      <c r="BS81" s="529">
        <f t="shared" si="121"/>
        <v>0</v>
      </c>
      <c r="BT81" s="529">
        <f t="shared" si="143"/>
        <v>0</v>
      </c>
      <c r="BU81" s="529">
        <f t="shared" si="144"/>
        <v>0</v>
      </c>
      <c r="BV81" s="529">
        <f t="shared" si="145"/>
        <v>0</v>
      </c>
      <c r="BW81" s="532" t="str">
        <f t="shared" si="122"/>
        <v/>
      </c>
      <c r="BX81" s="532" t="str">
        <f t="shared" si="123"/>
        <v/>
      </c>
      <c r="BY81" s="532" t="str">
        <f t="shared" si="124"/>
        <v/>
      </c>
      <c r="BZ81" s="532" t="str">
        <f t="shared" si="125"/>
        <v/>
      </c>
      <c r="CA81" s="532">
        <f t="shared" si="126"/>
        <v>0</v>
      </c>
      <c r="CB81" s="533"/>
      <c r="CC81" s="624">
        <f t="shared" si="127"/>
        <v>0</v>
      </c>
      <c r="CD81" s="534">
        <f t="shared" si="128"/>
        <v>0</v>
      </c>
      <c r="CE81" s="534">
        <f t="shared" si="129"/>
        <v>0</v>
      </c>
      <c r="CF81" s="534">
        <f t="shared" si="130"/>
        <v>0</v>
      </c>
      <c r="CG81" s="534"/>
      <c r="CH81" s="534"/>
      <c r="CI81" s="534">
        <f t="shared" si="146"/>
        <v>0</v>
      </c>
      <c r="CL81" s="534">
        <f>IF(ISNA(VLOOKUP(I81,Veg_Parameters!$A$3:$N$65,13,FALSE)),0,(VLOOKUP(I81,Veg_Parameters!$A$3:$N$65,13,FALSE)))</f>
        <v>0</v>
      </c>
      <c r="CM81" s="534">
        <f t="shared" si="147"/>
        <v>0</v>
      </c>
      <c r="CN81" s="534">
        <f>IF(ISNA(VLOOKUP(N81,Veg_Parameters!$A$3:$N$65,13,FALSE)),0,(VLOOKUP(N81,Veg_Parameters!$A$3:$N$65,13,FALSE)))</f>
        <v>0</v>
      </c>
      <c r="CO81" s="523">
        <f t="shared" si="148"/>
        <v>0</v>
      </c>
    </row>
    <row r="82" spans="1:93" x14ac:dyDescent="0.2">
      <c r="A82" s="227"/>
      <c r="B82" s="171" t="str">
        <f t="shared" si="149"/>
        <v/>
      </c>
      <c r="C82" s="230"/>
      <c r="D82" s="169"/>
      <c r="E82" s="165"/>
      <c r="F82" s="165"/>
      <c r="G82" s="165"/>
      <c r="H82" s="165"/>
      <c r="I82" s="168"/>
      <c r="J82" s="167"/>
      <c r="K82" s="168"/>
      <c r="L82" s="167"/>
      <c r="M82" s="167"/>
      <c r="N82" s="168"/>
      <c r="O82" s="168"/>
      <c r="P82" s="167"/>
      <c r="Q82" s="167"/>
      <c r="R82" s="167"/>
      <c r="S82" s="222" t="str">
        <f>IF(ISBLANK(A82),"",IF(ISNA(VLOOKUP(I82,Veg_Parameters!$A$3:$N$65,3,FALSE)),0,(VLOOKUP(I82,Veg_Parameters!$A$3:$N$65,3,FALSE))))</f>
        <v/>
      </c>
      <c r="T82" s="222" t="str">
        <f>IF(ISBLANK(N82),"",IF(ISNA(VLOOKUP(N82,Veg_Parameters!$A$3:$N$65,3,FALSE)),0,(VLOOKUP(N82,Veg_Parameters!$A$3:$N$65,3,FALSE))))</f>
        <v/>
      </c>
      <c r="U82" s="523">
        <f t="shared" si="131"/>
        <v>0</v>
      </c>
      <c r="V82" s="523">
        <f t="shared" si="108"/>
        <v>0</v>
      </c>
      <c r="W82" s="524">
        <f>IF(ISBLANK(A82),0,IF(ISNA(VLOOKUP($I82,Veg_Parameters!$A$3:$N$65,10,FALSE)),0,(VLOOKUP($I82,Veg_Parameters!$A$3:$N$65,10,FALSE))))</f>
        <v>0</v>
      </c>
      <c r="X82" s="524">
        <f>IF(ISBLANK(A82),0,IF(ISNA(VLOOKUP($I82,Veg_Parameters!$A$3:$N$65,11,FALSE)),0,(VLOOKUP($I82,Veg_Parameters!$A$3:$N$65,11,FALSE))))</f>
        <v>0</v>
      </c>
      <c r="Y82" s="524">
        <f>IF(ISBLANK(A82),0,IF(ISNA(VLOOKUP($I82,Veg_Parameters!$A$3:$N$65,12,FALSE)),0,(VLOOKUP($I82,Veg_Parameters!$A$3:$N$65,12,FALSE))))</f>
        <v>0</v>
      </c>
      <c r="Z82" s="525">
        <f t="shared" si="150"/>
        <v>0</v>
      </c>
      <c r="AA82" s="525">
        <f t="shared" si="109"/>
        <v>0</v>
      </c>
      <c r="AB82" s="525">
        <f t="shared" si="110"/>
        <v>0</v>
      </c>
      <c r="AC82" s="524">
        <f>IF(ISBLANK(N82),0,IF(ISNA(VLOOKUP($N82,Veg_Parameters!$A$3:$N$65,10,FALSE)),0,(VLOOKUP($N82,Veg_Parameters!$A$3:$N$65,10,FALSE))))</f>
        <v>0</v>
      </c>
      <c r="AD82" s="524">
        <f>IF(ISBLANK(N82),0,IF(ISNA(VLOOKUP($N82,Veg_Parameters!$A$3:$N$65,11,FALSE)),0,(VLOOKUP($N82,Veg_Parameters!$A$3:$N$65,11,FALSE))))</f>
        <v>0</v>
      </c>
      <c r="AE82" s="524">
        <f>IF(ISBLANK(N82), 0, IF(ISNA(VLOOKUP($N82,Veg_Parameters!$A$3:$N$65,12,FALSE)),0,(VLOOKUP($N82,Veg_Parameters!$A$3:$N$65,12,FALSE))))</f>
        <v>0</v>
      </c>
      <c r="AF82" s="523">
        <f t="shared" si="111"/>
        <v>0</v>
      </c>
      <c r="AG82" s="523">
        <f t="shared" si="112"/>
        <v>0</v>
      </c>
      <c r="AH82" s="523">
        <f t="shared" si="113"/>
        <v>0</v>
      </c>
      <c r="AI82" s="526"/>
      <c r="AJ82" s="527">
        <f>AB82*(IF(ISNA(VLOOKUP($I82,Veg_Parameters!$A$3:$N$65,5,FALSE)),0,(VLOOKUP($I82,Veg_Parameters!$A$3:$N$65,5,FALSE))))</f>
        <v>0</v>
      </c>
      <c r="AK82" s="527">
        <f>IF(ISNA(VLOOKUP($I82,Veg_Parameters!$A$3:$N$65,4,FALSE)),0,(VLOOKUP($I82,Veg_Parameters!$A$3:$N$65,4,FALSE)))</f>
        <v>0</v>
      </c>
      <c r="AL82" s="527">
        <f>AB82*(IF(ISNA(VLOOKUP($I82,Veg_Parameters!$A$3:$N$65,7,FALSE)),0, (VLOOKUP($I82,Veg_Parameters!$A$3:$N$65,7,FALSE))))</f>
        <v>0</v>
      </c>
      <c r="AM82" s="528">
        <f>IF(ISNA(VLOOKUP($I82,Veg_Parameters!$A$3:$N$65,6,FALSE)), 0, (VLOOKUP($I82,Veg_Parameters!$A$3:$N$65,6,FALSE)))</f>
        <v>0</v>
      </c>
      <c r="AN82" s="529">
        <f t="shared" si="114"/>
        <v>20</v>
      </c>
      <c r="AO82" s="529">
        <f t="shared" si="115"/>
        <v>0</v>
      </c>
      <c r="AP82" s="529">
        <f t="shared" si="116"/>
        <v>0</v>
      </c>
      <c r="AQ82" s="530">
        <f t="shared" si="132"/>
        <v>0</v>
      </c>
      <c r="AR82" s="527" t="s">
        <v>3</v>
      </c>
      <c r="AS82" s="527">
        <f>IF(ISNA(VLOOKUP($I82,Veg_Parameters!$A$3:$N$65,8,FALSE)), 0, (VLOOKUP($I82,Veg_Parameters!$A$3:$N$65,8,FALSE)))</f>
        <v>0</v>
      </c>
      <c r="AT82" s="527">
        <f>AB82*(IF(ISNA(VLOOKUP($I82,Veg_Parameters!$A$3:$N$65,9,FALSE)), 0, (VLOOKUP($I82,Veg_Parameters!$A$3:$N$65,9,FALSE))))</f>
        <v>0</v>
      </c>
      <c r="AU82" s="527">
        <f>IF(ISBLANK(A82),0,VLOOKUP($I82,Veg_Parameters!$A$4:$U$65,21,))</f>
        <v>0</v>
      </c>
      <c r="AV82" s="527">
        <f t="shared" si="133"/>
        <v>0</v>
      </c>
      <c r="AW82" s="529">
        <f t="shared" si="134"/>
        <v>0</v>
      </c>
      <c r="AX82" s="529">
        <f t="shared" si="135"/>
        <v>0</v>
      </c>
      <c r="AY82" s="529">
        <f t="shared" si="117"/>
        <v>0</v>
      </c>
      <c r="AZ82" s="529">
        <f t="shared" si="136"/>
        <v>0</v>
      </c>
      <c r="BA82" s="529">
        <f t="shared" si="137"/>
        <v>0</v>
      </c>
      <c r="BB82" s="529">
        <f t="shared" si="138"/>
        <v>0</v>
      </c>
      <c r="BC82" s="529">
        <f t="shared" si="118"/>
        <v>0</v>
      </c>
      <c r="BD82" s="531"/>
      <c r="BE82" s="527">
        <f>AH82*(IF(ISNA(VLOOKUP($N82,Veg_Parameters!$A$3:$N$65,5,FALSE)),0,(VLOOKUP($N82,Veg_Parameters!$A$3:$N$65,5,FALSE))))</f>
        <v>0</v>
      </c>
      <c r="BF82" s="527">
        <f>IF(ISNA(VLOOKUP($N82,Veg_Parameters!$A$3:$N$65,4,FALSE)),0,(VLOOKUP($N82,Veg_Parameters!$A$3:$N$65,4,FALSE)))</f>
        <v>0</v>
      </c>
      <c r="BG82" s="527">
        <f>AH82*(IF(ISNA(VLOOKUP($N82,Veg_Parameters!$A$3:$N$65,7,FALSE)),0, (VLOOKUP($N82,Veg_Parameters!$A$3:$N$65,7,FALSE))))</f>
        <v>0</v>
      </c>
      <c r="BH82" s="527">
        <f>IF(ISNA(VLOOKUP($N82,Veg_Parameters!$A$3:$N$65,6,FALSE)), 0, (VLOOKUP($N82,Veg_Parameters!$A$3:$N$65,6,FALSE)))</f>
        <v>0</v>
      </c>
      <c r="BI82" s="529">
        <f t="shared" si="119"/>
        <v>20</v>
      </c>
      <c r="BJ82" s="529">
        <f t="shared" si="139"/>
        <v>0</v>
      </c>
      <c r="BK82" s="529">
        <f t="shared" si="120"/>
        <v>0</v>
      </c>
      <c r="BL82" s="530">
        <f t="shared" si="140"/>
        <v>0</v>
      </c>
      <c r="BM82" s="527" t="s">
        <v>3</v>
      </c>
      <c r="BN82" s="527">
        <f>IF(ISNA(VLOOKUP(N82,Veg_Parameters!$A$3:$N$65,8,FALSE)), 0, (VLOOKUP($N82,Veg_Parameters!$A$3:$N$65,8,FALSE)))</f>
        <v>0</v>
      </c>
      <c r="BO82" s="527">
        <f>AH82*(IF(ISNA(VLOOKUP($N82,Veg_Parameters!$A$3:$N$65,9,FALSE)), 0, (VLOOKUP($N82,Veg_Parameters!$A$3:$N$65,9,FALSE))))</f>
        <v>0</v>
      </c>
      <c r="BP82" s="527" t="str">
        <f>IF(ISBLANK(N82),"0",VLOOKUP($N82,Veg_Parameters!$A$4:$U$65,21,))</f>
        <v>0</v>
      </c>
      <c r="BQ82" s="529">
        <f t="shared" si="141"/>
        <v>0</v>
      </c>
      <c r="BR82" s="529">
        <f t="shared" si="142"/>
        <v>0</v>
      </c>
      <c r="BS82" s="529">
        <f t="shared" si="121"/>
        <v>0</v>
      </c>
      <c r="BT82" s="529">
        <f t="shared" si="143"/>
        <v>0</v>
      </c>
      <c r="BU82" s="529">
        <f t="shared" si="144"/>
        <v>0</v>
      </c>
      <c r="BV82" s="529">
        <f t="shared" si="145"/>
        <v>0</v>
      </c>
      <c r="BW82" s="532" t="str">
        <f t="shared" si="122"/>
        <v/>
      </c>
      <c r="BX82" s="532" t="str">
        <f t="shared" si="123"/>
        <v/>
      </c>
      <c r="BY82" s="532" t="str">
        <f t="shared" si="124"/>
        <v/>
      </c>
      <c r="BZ82" s="532" t="str">
        <f t="shared" si="125"/>
        <v/>
      </c>
      <c r="CA82" s="532">
        <f t="shared" si="126"/>
        <v>0</v>
      </c>
      <c r="CB82" s="533"/>
      <c r="CC82" s="624">
        <f t="shared" si="127"/>
        <v>0</v>
      </c>
      <c r="CD82" s="534">
        <f t="shared" si="128"/>
        <v>0</v>
      </c>
      <c r="CE82" s="534">
        <f t="shared" si="129"/>
        <v>0</v>
      </c>
      <c r="CF82" s="534">
        <f t="shared" si="130"/>
        <v>0</v>
      </c>
      <c r="CG82" s="534"/>
      <c r="CH82" s="534"/>
      <c r="CI82" s="534">
        <f t="shared" si="146"/>
        <v>0</v>
      </c>
      <c r="CL82" s="534">
        <f>IF(ISNA(VLOOKUP(I82,Veg_Parameters!$A$3:$N$65,13,FALSE)),0,(VLOOKUP(I82,Veg_Parameters!$A$3:$N$65,13,FALSE)))</f>
        <v>0</v>
      </c>
      <c r="CM82" s="534">
        <f t="shared" si="147"/>
        <v>0</v>
      </c>
      <c r="CN82" s="534">
        <f>IF(ISNA(VLOOKUP(N82,Veg_Parameters!$A$3:$N$65,13,FALSE)),0,(VLOOKUP(N82,Veg_Parameters!$A$3:$N$65,13,FALSE)))</f>
        <v>0</v>
      </c>
      <c r="CO82" s="523">
        <f t="shared" si="148"/>
        <v>0</v>
      </c>
    </row>
    <row r="83" spans="1:93" x14ac:dyDescent="0.2">
      <c r="A83" s="227"/>
      <c r="B83" s="171" t="str">
        <f t="shared" si="149"/>
        <v/>
      </c>
      <c r="C83" s="230"/>
      <c r="D83" s="169"/>
      <c r="E83" s="165"/>
      <c r="F83" s="165"/>
      <c r="G83" s="165"/>
      <c r="H83" s="165"/>
      <c r="I83" s="168"/>
      <c r="J83" s="167"/>
      <c r="K83" s="168"/>
      <c r="L83" s="167"/>
      <c r="M83" s="167"/>
      <c r="N83" s="168"/>
      <c r="O83" s="168"/>
      <c r="P83" s="167"/>
      <c r="Q83" s="167"/>
      <c r="R83" s="167"/>
      <c r="S83" s="222" t="str">
        <f>IF(ISBLANK(A83),"",IF(ISNA(VLOOKUP(I83,Veg_Parameters!$A$3:$N$65,3,FALSE)),0,(VLOOKUP(I83,Veg_Parameters!$A$3:$N$65,3,FALSE))))</f>
        <v/>
      </c>
      <c r="T83" s="222" t="str">
        <f>IF(ISBLANK(N83),"",IF(ISNA(VLOOKUP(N83,Veg_Parameters!$A$3:$N$65,3,FALSE)),0,(VLOOKUP(N83,Veg_Parameters!$A$3:$N$65,3,FALSE))))</f>
        <v/>
      </c>
      <c r="U83" s="523">
        <f t="shared" si="131"/>
        <v>0</v>
      </c>
      <c r="V83" s="523">
        <f t="shared" si="108"/>
        <v>0</v>
      </c>
      <c r="W83" s="524">
        <f>IF(ISBLANK(A83),0,IF(ISNA(VLOOKUP($I83,Veg_Parameters!$A$3:$N$65,10,FALSE)),0,(VLOOKUP($I83,Veg_Parameters!$A$3:$N$65,10,FALSE))))</f>
        <v>0</v>
      </c>
      <c r="X83" s="524">
        <f>IF(ISBLANK(A83),0,IF(ISNA(VLOOKUP($I83,Veg_Parameters!$A$3:$N$65,11,FALSE)),0,(VLOOKUP($I83,Veg_Parameters!$A$3:$N$65,11,FALSE))))</f>
        <v>0</v>
      </c>
      <c r="Y83" s="524">
        <f>IF(ISBLANK(A83),0,IF(ISNA(VLOOKUP($I83,Veg_Parameters!$A$3:$N$65,12,FALSE)),0,(VLOOKUP($I83,Veg_Parameters!$A$3:$N$65,12,FALSE))))</f>
        <v>0</v>
      </c>
      <c r="Z83" s="525">
        <f t="shared" si="150"/>
        <v>0</v>
      </c>
      <c r="AA83" s="525">
        <f t="shared" si="109"/>
        <v>0</v>
      </c>
      <c r="AB83" s="525">
        <f t="shared" si="110"/>
        <v>0</v>
      </c>
      <c r="AC83" s="524">
        <f>IF(ISBLANK(N83),0,IF(ISNA(VLOOKUP($N83,Veg_Parameters!$A$3:$N$65,10,FALSE)),0,(VLOOKUP($N83,Veg_Parameters!$A$3:$N$65,10,FALSE))))</f>
        <v>0</v>
      </c>
      <c r="AD83" s="524">
        <f>IF(ISBLANK(N83),0,IF(ISNA(VLOOKUP($N83,Veg_Parameters!$A$3:$N$65,11,FALSE)),0,(VLOOKUP($N83,Veg_Parameters!$A$3:$N$65,11,FALSE))))</f>
        <v>0</v>
      </c>
      <c r="AE83" s="524">
        <f>IF(ISBLANK(N83), 0, IF(ISNA(VLOOKUP($N83,Veg_Parameters!$A$3:$N$65,12,FALSE)),0,(VLOOKUP($N83,Veg_Parameters!$A$3:$N$65,12,FALSE))))</f>
        <v>0</v>
      </c>
      <c r="AF83" s="523">
        <f t="shared" si="111"/>
        <v>0</v>
      </c>
      <c r="AG83" s="523">
        <f t="shared" si="112"/>
        <v>0</v>
      </c>
      <c r="AH83" s="523">
        <f t="shared" si="113"/>
        <v>0</v>
      </c>
      <c r="AI83" s="526"/>
      <c r="AJ83" s="527">
        <f>AB83*(IF(ISNA(VLOOKUP($I83,Veg_Parameters!$A$3:$N$65,5,FALSE)),0,(VLOOKUP($I83,Veg_Parameters!$A$3:$N$65,5,FALSE))))</f>
        <v>0</v>
      </c>
      <c r="AK83" s="527">
        <f>IF(ISNA(VLOOKUP($I83,Veg_Parameters!$A$3:$N$65,4,FALSE)),0,(VLOOKUP($I83,Veg_Parameters!$A$3:$N$65,4,FALSE)))</f>
        <v>0</v>
      </c>
      <c r="AL83" s="527">
        <f>AB83*(IF(ISNA(VLOOKUP($I83,Veg_Parameters!$A$3:$N$65,7,FALSE)),0, (VLOOKUP($I83,Veg_Parameters!$A$3:$N$65,7,FALSE))))</f>
        <v>0</v>
      </c>
      <c r="AM83" s="528">
        <f>IF(ISNA(VLOOKUP($I83,Veg_Parameters!$A$3:$N$65,6,FALSE)), 0, (VLOOKUP($I83,Veg_Parameters!$A$3:$N$65,6,FALSE)))</f>
        <v>0</v>
      </c>
      <c r="AN83" s="529">
        <f t="shared" si="114"/>
        <v>20</v>
      </c>
      <c r="AO83" s="529">
        <f t="shared" si="115"/>
        <v>0</v>
      </c>
      <c r="AP83" s="529">
        <f t="shared" si="116"/>
        <v>0</v>
      </c>
      <c r="AQ83" s="530">
        <f t="shared" si="132"/>
        <v>0</v>
      </c>
      <c r="AR83" s="527" t="s">
        <v>3</v>
      </c>
      <c r="AS83" s="527">
        <f>IF(ISNA(VLOOKUP($I83,Veg_Parameters!$A$3:$N$65,8,FALSE)), 0, (VLOOKUP($I83,Veg_Parameters!$A$3:$N$65,8,FALSE)))</f>
        <v>0</v>
      </c>
      <c r="AT83" s="527">
        <f>AB83*(IF(ISNA(VLOOKUP($I83,Veg_Parameters!$A$3:$N$65,9,FALSE)), 0, (VLOOKUP($I83,Veg_Parameters!$A$3:$N$65,9,FALSE))))</f>
        <v>0</v>
      </c>
      <c r="AU83" s="527">
        <f>IF(ISBLANK(A83),0,VLOOKUP($I83,Veg_Parameters!$A$4:$U$65,21,))</f>
        <v>0</v>
      </c>
      <c r="AV83" s="527">
        <f t="shared" si="133"/>
        <v>0</v>
      </c>
      <c r="AW83" s="529">
        <f t="shared" si="134"/>
        <v>0</v>
      </c>
      <c r="AX83" s="529">
        <f t="shared" si="135"/>
        <v>0</v>
      </c>
      <c r="AY83" s="529">
        <f t="shared" si="117"/>
        <v>0</v>
      </c>
      <c r="AZ83" s="529">
        <f t="shared" si="136"/>
        <v>0</v>
      </c>
      <c r="BA83" s="529">
        <f t="shared" si="137"/>
        <v>0</v>
      </c>
      <c r="BB83" s="529">
        <f t="shared" si="138"/>
        <v>0</v>
      </c>
      <c r="BC83" s="529">
        <f t="shared" si="118"/>
        <v>0</v>
      </c>
      <c r="BD83" s="531"/>
      <c r="BE83" s="527">
        <f>AH83*(IF(ISNA(VLOOKUP($N83,Veg_Parameters!$A$3:$N$65,5,FALSE)),0,(VLOOKUP($N83,Veg_Parameters!$A$3:$N$65,5,FALSE))))</f>
        <v>0</v>
      </c>
      <c r="BF83" s="527">
        <f>IF(ISNA(VLOOKUP($N83,Veg_Parameters!$A$3:$N$65,4,FALSE)),0,(VLOOKUP($N83,Veg_Parameters!$A$3:$N$65,4,FALSE)))</f>
        <v>0</v>
      </c>
      <c r="BG83" s="527">
        <f>AH83*(IF(ISNA(VLOOKUP($N83,Veg_Parameters!$A$3:$N$65,7,FALSE)),0, (VLOOKUP($N83,Veg_Parameters!$A$3:$N$65,7,FALSE))))</f>
        <v>0</v>
      </c>
      <c r="BH83" s="527">
        <f>IF(ISNA(VLOOKUP($N83,Veg_Parameters!$A$3:$N$65,6,FALSE)), 0, (VLOOKUP($N83,Veg_Parameters!$A$3:$N$65,6,FALSE)))</f>
        <v>0</v>
      </c>
      <c r="BI83" s="529">
        <f t="shared" si="119"/>
        <v>20</v>
      </c>
      <c r="BJ83" s="529">
        <f t="shared" si="139"/>
        <v>0</v>
      </c>
      <c r="BK83" s="529">
        <f t="shared" si="120"/>
        <v>0</v>
      </c>
      <c r="BL83" s="530">
        <f t="shared" si="140"/>
        <v>0</v>
      </c>
      <c r="BM83" s="527" t="s">
        <v>3</v>
      </c>
      <c r="BN83" s="527">
        <f>IF(ISNA(VLOOKUP(N83,Veg_Parameters!$A$3:$N$65,8,FALSE)), 0, (VLOOKUP($N83,Veg_Parameters!$A$3:$N$65,8,FALSE)))</f>
        <v>0</v>
      </c>
      <c r="BO83" s="527">
        <f>AH83*(IF(ISNA(VLOOKUP($N83,Veg_Parameters!$A$3:$N$65,9,FALSE)), 0, (VLOOKUP($N83,Veg_Parameters!$A$3:$N$65,9,FALSE))))</f>
        <v>0</v>
      </c>
      <c r="BP83" s="527" t="str">
        <f>IF(ISBLANK(N83),"0",VLOOKUP($N83,Veg_Parameters!$A$4:$U$65,21,))</f>
        <v>0</v>
      </c>
      <c r="BQ83" s="529">
        <f t="shared" si="141"/>
        <v>0</v>
      </c>
      <c r="BR83" s="529">
        <f t="shared" si="142"/>
        <v>0</v>
      </c>
      <c r="BS83" s="529">
        <f t="shared" si="121"/>
        <v>0</v>
      </c>
      <c r="BT83" s="529">
        <f t="shared" si="143"/>
        <v>0</v>
      </c>
      <c r="BU83" s="529">
        <f t="shared" si="144"/>
        <v>0</v>
      </c>
      <c r="BV83" s="529">
        <f t="shared" si="145"/>
        <v>0</v>
      </c>
      <c r="BW83" s="532" t="str">
        <f t="shared" si="122"/>
        <v/>
      </c>
      <c r="BX83" s="532" t="str">
        <f t="shared" si="123"/>
        <v/>
      </c>
      <c r="BY83" s="532" t="str">
        <f t="shared" si="124"/>
        <v/>
      </c>
      <c r="BZ83" s="532" t="str">
        <f t="shared" si="125"/>
        <v/>
      </c>
      <c r="CA83" s="532">
        <f t="shared" si="126"/>
        <v>0</v>
      </c>
      <c r="CB83" s="533"/>
      <c r="CC83" s="624">
        <f t="shared" si="127"/>
        <v>0</v>
      </c>
      <c r="CD83" s="534">
        <f t="shared" si="128"/>
        <v>0</v>
      </c>
      <c r="CE83" s="534">
        <f t="shared" si="129"/>
        <v>0</v>
      </c>
      <c r="CF83" s="534">
        <f t="shared" si="130"/>
        <v>0</v>
      </c>
      <c r="CG83" s="534"/>
      <c r="CH83" s="534"/>
      <c r="CI83" s="534">
        <f t="shared" si="146"/>
        <v>0</v>
      </c>
      <c r="CL83" s="534">
        <f>IF(ISNA(VLOOKUP(I83,Veg_Parameters!$A$3:$N$65,13,FALSE)),0,(VLOOKUP(I83,Veg_Parameters!$A$3:$N$65,13,FALSE)))</f>
        <v>0</v>
      </c>
      <c r="CM83" s="534">
        <f t="shared" si="147"/>
        <v>0</v>
      </c>
      <c r="CN83" s="534">
        <f>IF(ISNA(VLOOKUP(N83,Veg_Parameters!$A$3:$N$65,13,FALSE)),0,(VLOOKUP(N83,Veg_Parameters!$A$3:$N$65,13,FALSE)))</f>
        <v>0</v>
      </c>
      <c r="CO83" s="523">
        <f t="shared" si="148"/>
        <v>0</v>
      </c>
    </row>
    <row r="84" spans="1:93" x14ac:dyDescent="0.2">
      <c r="A84" s="227"/>
      <c r="B84" s="171" t="str">
        <f t="shared" si="149"/>
        <v/>
      </c>
      <c r="C84" s="292" t="s">
        <v>27</v>
      </c>
      <c r="D84" s="234"/>
      <c r="E84" s="165"/>
      <c r="F84" s="165"/>
      <c r="G84" s="165"/>
      <c r="H84" s="165"/>
      <c r="I84" s="168"/>
      <c r="J84" s="167"/>
      <c r="K84" s="168"/>
      <c r="L84" s="167"/>
      <c r="M84" s="167"/>
      <c r="N84" s="168"/>
      <c r="O84" s="168"/>
      <c r="P84" s="167"/>
      <c r="Q84" s="167"/>
      <c r="R84" s="167"/>
      <c r="S84" s="222" t="str">
        <f>IF(ISBLANK(A84),"",IF(ISNA(VLOOKUP(I84,Veg_Parameters!$A$3:$N$65,3,FALSE)),0,(VLOOKUP(I84,Veg_Parameters!$A$3:$N$65,3,FALSE))))</f>
        <v/>
      </c>
      <c r="T84" s="222" t="str">
        <f>IF(ISBLANK(N84),"",IF(ISNA(VLOOKUP(N84,Veg_Parameters!$A$3:$N$65,3,FALSE)),0,(VLOOKUP(N84,Veg_Parameters!$A$3:$N$65,3,FALSE))))</f>
        <v/>
      </c>
      <c r="U84" s="523">
        <f t="shared" si="131"/>
        <v>0</v>
      </c>
      <c r="V84" s="523">
        <f t="shared" si="108"/>
        <v>0</v>
      </c>
      <c r="W84" s="524">
        <f>IF(ISBLANK(A84),0,IF(ISNA(VLOOKUP($I84,Veg_Parameters!$A$3:$N$65,10,FALSE)),0,(VLOOKUP($I84,Veg_Parameters!$A$3:$N$65,10,FALSE))))</f>
        <v>0</v>
      </c>
      <c r="X84" s="524">
        <f>IF(ISBLANK(A84),0,IF(ISNA(VLOOKUP($I84,Veg_Parameters!$A$3:$N$65,11,FALSE)),0,(VLOOKUP($I84,Veg_Parameters!$A$3:$N$65,11,FALSE))))</f>
        <v>0</v>
      </c>
      <c r="Y84" s="524">
        <f>IF(ISBLANK(A84),0,IF(ISNA(VLOOKUP($I84,Veg_Parameters!$A$3:$N$65,12,FALSE)),0,(VLOOKUP($I84,Veg_Parameters!$A$3:$N$65,12,FALSE))))</f>
        <v>0</v>
      </c>
      <c r="Z84" s="525">
        <f t="shared" si="150"/>
        <v>0</v>
      </c>
      <c r="AA84" s="525">
        <f t="shared" si="109"/>
        <v>0</v>
      </c>
      <c r="AB84" s="525">
        <f t="shared" si="110"/>
        <v>0</v>
      </c>
      <c r="AC84" s="524">
        <f>IF(ISBLANK(N84),0,IF(ISNA(VLOOKUP($N84,Veg_Parameters!$A$3:$N$65,10,FALSE)),0,(VLOOKUP($N84,Veg_Parameters!$A$3:$N$65,10,FALSE))))</f>
        <v>0</v>
      </c>
      <c r="AD84" s="524">
        <f>IF(ISBLANK(N84),0,IF(ISNA(VLOOKUP($N84,Veg_Parameters!$A$3:$N$65,11,FALSE)),0,(VLOOKUP($N84,Veg_Parameters!$A$3:$N$65,11,FALSE))))</f>
        <v>0</v>
      </c>
      <c r="AE84" s="524">
        <f>IF(ISBLANK(N84), 0, IF(ISNA(VLOOKUP($N84,Veg_Parameters!$A$3:$N$65,12,FALSE)),0,(VLOOKUP($N84,Veg_Parameters!$A$3:$N$65,12,FALSE))))</f>
        <v>0</v>
      </c>
      <c r="AF84" s="523">
        <f t="shared" si="111"/>
        <v>0</v>
      </c>
      <c r="AG84" s="523">
        <f t="shared" si="112"/>
        <v>0</v>
      </c>
      <c r="AH84" s="523">
        <f t="shared" si="113"/>
        <v>0</v>
      </c>
      <c r="AI84" s="526"/>
      <c r="AJ84" s="527">
        <f>AB84*(IF(ISNA(VLOOKUP($I84,Veg_Parameters!$A$3:$N$65,5,FALSE)),0,(VLOOKUP($I84,Veg_Parameters!$A$3:$N$65,5,FALSE))))</f>
        <v>0</v>
      </c>
      <c r="AK84" s="527">
        <f>IF(ISNA(VLOOKUP($I84,Veg_Parameters!$A$3:$N$65,4,FALSE)),0,(VLOOKUP($I84,Veg_Parameters!$A$3:$N$65,4,FALSE)))</f>
        <v>0</v>
      </c>
      <c r="AL84" s="527">
        <f>AB84*(IF(ISNA(VLOOKUP($I84,Veg_Parameters!$A$3:$N$65,7,FALSE)),0, (VLOOKUP($I84,Veg_Parameters!$A$3:$N$65,7,FALSE))))</f>
        <v>0</v>
      </c>
      <c r="AM84" s="528">
        <f>IF(ISNA(VLOOKUP($I84,Veg_Parameters!$A$3:$N$65,6,FALSE)), 0, (VLOOKUP($I84,Veg_Parameters!$A$3:$N$65,6,FALSE)))</f>
        <v>0</v>
      </c>
      <c r="AN84" s="529">
        <f t="shared" si="114"/>
        <v>20</v>
      </c>
      <c r="AO84" s="529">
        <f t="shared" si="115"/>
        <v>0</v>
      </c>
      <c r="AP84" s="529">
        <f t="shared" si="116"/>
        <v>0</v>
      </c>
      <c r="AQ84" s="530">
        <f t="shared" si="132"/>
        <v>0</v>
      </c>
      <c r="AR84" s="527" t="s">
        <v>3</v>
      </c>
      <c r="AS84" s="527">
        <f>IF(ISNA(VLOOKUP($I84,Veg_Parameters!$A$3:$N$65,8,FALSE)), 0, (VLOOKUP($I84,Veg_Parameters!$A$3:$N$65,8,FALSE)))</f>
        <v>0</v>
      </c>
      <c r="AT84" s="527">
        <f>AB84*(IF(ISNA(VLOOKUP($I84,Veg_Parameters!$A$3:$N$65,9,FALSE)), 0, (VLOOKUP($I84,Veg_Parameters!$A$3:$N$65,9,FALSE))))</f>
        <v>0</v>
      </c>
      <c r="AU84" s="527">
        <f>IF(ISBLANK(A84),0,VLOOKUP($I84,Veg_Parameters!$A$4:$U$65,21,))</f>
        <v>0</v>
      </c>
      <c r="AV84" s="527">
        <f t="shared" si="133"/>
        <v>0</v>
      </c>
      <c r="AW84" s="529">
        <f t="shared" si="134"/>
        <v>0</v>
      </c>
      <c r="AX84" s="529">
        <f t="shared" si="135"/>
        <v>0</v>
      </c>
      <c r="AY84" s="529">
        <f t="shared" si="117"/>
        <v>0</v>
      </c>
      <c r="AZ84" s="529">
        <f t="shared" si="136"/>
        <v>0</v>
      </c>
      <c r="BA84" s="529">
        <f t="shared" si="137"/>
        <v>0</v>
      </c>
      <c r="BB84" s="529">
        <f t="shared" si="138"/>
        <v>0</v>
      </c>
      <c r="BC84" s="529">
        <f t="shared" si="118"/>
        <v>0</v>
      </c>
      <c r="BD84" s="531"/>
      <c r="BE84" s="527">
        <f>AH84*(IF(ISNA(VLOOKUP($N84,Veg_Parameters!$A$3:$N$65,5,FALSE)),0,(VLOOKUP($N84,Veg_Parameters!$A$3:$N$65,5,FALSE))))</f>
        <v>0</v>
      </c>
      <c r="BF84" s="527">
        <f>IF(ISNA(VLOOKUP($N84,Veg_Parameters!$A$3:$N$65,4,FALSE)),0,(VLOOKUP($N84,Veg_Parameters!$A$3:$N$65,4,FALSE)))</f>
        <v>0</v>
      </c>
      <c r="BG84" s="527">
        <f>AH84*(IF(ISNA(VLOOKUP($N84,Veg_Parameters!$A$3:$N$65,7,FALSE)),0, (VLOOKUP($N84,Veg_Parameters!$A$3:$N$65,7,FALSE))))</f>
        <v>0</v>
      </c>
      <c r="BH84" s="527">
        <f>IF(ISNA(VLOOKUP($N84,Veg_Parameters!$A$3:$N$65,6,FALSE)), 0, (VLOOKUP($N84,Veg_Parameters!$A$3:$N$65,6,FALSE)))</f>
        <v>0</v>
      </c>
      <c r="BI84" s="529">
        <f t="shared" si="119"/>
        <v>20</v>
      </c>
      <c r="BJ84" s="529">
        <f t="shared" si="139"/>
        <v>0</v>
      </c>
      <c r="BK84" s="529">
        <f t="shared" si="120"/>
        <v>0</v>
      </c>
      <c r="BL84" s="530">
        <f t="shared" si="140"/>
        <v>0</v>
      </c>
      <c r="BM84" s="527" t="s">
        <v>3</v>
      </c>
      <c r="BN84" s="527">
        <f>IF(ISNA(VLOOKUP(N84,Veg_Parameters!$A$3:$N$65,8,FALSE)), 0, (VLOOKUP($N84,Veg_Parameters!$A$3:$N$65,8,FALSE)))</f>
        <v>0</v>
      </c>
      <c r="BO84" s="527">
        <f>AH84*(IF(ISNA(VLOOKUP($N84,Veg_Parameters!$A$3:$N$65,9,FALSE)), 0, (VLOOKUP($N84,Veg_Parameters!$A$3:$N$65,9,FALSE))))</f>
        <v>0</v>
      </c>
      <c r="BP84" s="527" t="str">
        <f>IF(ISBLANK(N84),"0",VLOOKUP($N84,Veg_Parameters!$A$4:$U$65,21,))</f>
        <v>0</v>
      </c>
      <c r="BQ84" s="529">
        <f t="shared" si="141"/>
        <v>0</v>
      </c>
      <c r="BR84" s="529">
        <f t="shared" si="142"/>
        <v>0</v>
      </c>
      <c r="BS84" s="529">
        <f t="shared" si="121"/>
        <v>0</v>
      </c>
      <c r="BT84" s="529">
        <f t="shared" si="143"/>
        <v>0</v>
      </c>
      <c r="BU84" s="529">
        <f t="shared" si="144"/>
        <v>0</v>
      </c>
      <c r="BV84" s="529">
        <f t="shared" si="145"/>
        <v>0</v>
      </c>
      <c r="BW84" s="532" t="str">
        <f t="shared" si="122"/>
        <v/>
      </c>
      <c r="BX84" s="532" t="str">
        <f t="shared" si="123"/>
        <v/>
      </c>
      <c r="BY84" s="532" t="str">
        <f t="shared" si="124"/>
        <v/>
      </c>
      <c r="BZ84" s="532" t="str">
        <f t="shared" si="125"/>
        <v/>
      </c>
      <c r="CA84" s="532">
        <f t="shared" si="126"/>
        <v>0</v>
      </c>
      <c r="CB84" s="533"/>
      <c r="CC84" s="624">
        <f t="shared" si="127"/>
        <v>0</v>
      </c>
      <c r="CD84" s="534">
        <f t="shared" si="128"/>
        <v>0</v>
      </c>
      <c r="CE84" s="534">
        <f t="shared" si="129"/>
        <v>0</v>
      </c>
      <c r="CF84" s="534">
        <f t="shared" si="130"/>
        <v>0</v>
      </c>
      <c r="CG84" s="534"/>
      <c r="CH84" s="534"/>
      <c r="CI84" s="534">
        <f t="shared" si="146"/>
        <v>0</v>
      </c>
      <c r="CL84" s="534">
        <f>IF(ISNA(VLOOKUP(I84,Veg_Parameters!$A$3:$N$65,13,FALSE)),0,(VLOOKUP(I84,Veg_Parameters!$A$3:$N$65,13,FALSE)))</f>
        <v>0</v>
      </c>
      <c r="CM84" s="534">
        <f t="shared" si="147"/>
        <v>0</v>
      </c>
      <c r="CN84" s="534">
        <f>IF(ISNA(VLOOKUP(N84,Veg_Parameters!$A$3:$N$65,13,FALSE)),0,(VLOOKUP(N84,Veg_Parameters!$A$3:$N$65,13,FALSE)))</f>
        <v>0</v>
      </c>
      <c r="CO84" s="523">
        <f t="shared" si="148"/>
        <v>0</v>
      </c>
    </row>
    <row r="85" spans="1:93" x14ac:dyDescent="0.2">
      <c r="A85" s="227"/>
      <c r="B85" s="171" t="str">
        <f t="shared" si="149"/>
        <v/>
      </c>
      <c r="C85" s="230"/>
      <c r="D85" s="169"/>
      <c r="E85" s="165"/>
      <c r="F85" s="165"/>
      <c r="G85" s="165"/>
      <c r="H85" s="165"/>
      <c r="I85" s="168"/>
      <c r="J85" s="167"/>
      <c r="K85" s="168"/>
      <c r="L85" s="167"/>
      <c r="M85" s="167"/>
      <c r="N85" s="168"/>
      <c r="O85" s="168"/>
      <c r="P85" s="167"/>
      <c r="Q85" s="167"/>
      <c r="R85" s="167"/>
      <c r="S85" s="222" t="str">
        <f>IF(ISBLANK(A85),"",IF(ISNA(VLOOKUP(I85,Veg_Parameters!$A$3:$N$65,3,FALSE)),0,(VLOOKUP(I85,Veg_Parameters!$A$3:$N$65,3,FALSE))))</f>
        <v/>
      </c>
      <c r="T85" s="222" t="str">
        <f>IF(ISBLANK(N85),"",IF(ISNA(VLOOKUP(N85,Veg_Parameters!$A$3:$N$65,3,FALSE)),0,(VLOOKUP(N85,Veg_Parameters!$A$3:$N$65,3,FALSE))))</f>
        <v/>
      </c>
      <c r="U85" s="523">
        <f t="shared" si="131"/>
        <v>0</v>
      </c>
      <c r="V85" s="523">
        <f t="shared" si="108"/>
        <v>0</v>
      </c>
      <c r="W85" s="524">
        <f>IF(ISBLANK(A85),0,IF(ISNA(VLOOKUP($I85,Veg_Parameters!$A$3:$N$65,10,FALSE)),0,(VLOOKUP($I85,Veg_Parameters!$A$3:$N$65,10,FALSE))))</f>
        <v>0</v>
      </c>
      <c r="X85" s="524">
        <f>IF(ISBLANK(A85),0,IF(ISNA(VLOOKUP($I85,Veg_Parameters!$A$3:$N$65,11,FALSE)),0,(VLOOKUP($I85,Veg_Parameters!$A$3:$N$65,11,FALSE))))</f>
        <v>0</v>
      </c>
      <c r="Y85" s="524">
        <f>IF(ISBLANK(A85),0,IF(ISNA(VLOOKUP($I85,Veg_Parameters!$A$3:$N$65,12,FALSE)),0,(VLOOKUP($I85,Veg_Parameters!$A$3:$N$65,12,FALSE))))</f>
        <v>0</v>
      </c>
      <c r="Z85" s="525">
        <f t="shared" si="150"/>
        <v>0</v>
      </c>
      <c r="AA85" s="525">
        <f t="shared" si="109"/>
        <v>0</v>
      </c>
      <c r="AB85" s="525">
        <f t="shared" si="110"/>
        <v>0</v>
      </c>
      <c r="AC85" s="524">
        <f>IF(ISBLANK(N85),0,IF(ISNA(VLOOKUP($N85,Veg_Parameters!$A$3:$N$65,10,FALSE)),0,(VLOOKUP($N85,Veg_Parameters!$A$3:$N$65,10,FALSE))))</f>
        <v>0</v>
      </c>
      <c r="AD85" s="524">
        <f>IF(ISBLANK(N85),0,IF(ISNA(VLOOKUP($N85,Veg_Parameters!$A$3:$N$65,11,FALSE)),0,(VLOOKUP($N85,Veg_Parameters!$A$3:$N$65,11,FALSE))))</f>
        <v>0</v>
      </c>
      <c r="AE85" s="524">
        <f>IF(ISBLANK(N85), 0, IF(ISNA(VLOOKUP($N85,Veg_Parameters!$A$3:$N$65,12,FALSE)),0,(VLOOKUP($N85,Veg_Parameters!$A$3:$N$65,12,FALSE))))</f>
        <v>0</v>
      </c>
      <c r="AF85" s="523">
        <f t="shared" si="111"/>
        <v>0</v>
      </c>
      <c r="AG85" s="523">
        <f t="shared" si="112"/>
        <v>0</v>
      </c>
      <c r="AH85" s="523">
        <f t="shared" si="113"/>
        <v>0</v>
      </c>
      <c r="AI85" s="526"/>
      <c r="AJ85" s="527">
        <f>AB85*(IF(ISNA(VLOOKUP($I85,Veg_Parameters!$A$3:$N$65,5,FALSE)),0,(VLOOKUP($I85,Veg_Parameters!$A$3:$N$65,5,FALSE))))</f>
        <v>0</v>
      </c>
      <c r="AK85" s="527">
        <f>IF(ISNA(VLOOKUP($I85,Veg_Parameters!$A$3:$N$65,4,FALSE)),0,(VLOOKUP($I85,Veg_Parameters!$A$3:$N$65,4,FALSE)))</f>
        <v>0</v>
      </c>
      <c r="AL85" s="527">
        <f>AB85*(IF(ISNA(VLOOKUP($I85,Veg_Parameters!$A$3:$N$65,7,FALSE)),0, (VLOOKUP($I85,Veg_Parameters!$A$3:$N$65,7,FALSE))))</f>
        <v>0</v>
      </c>
      <c r="AM85" s="528">
        <f>IF(ISNA(VLOOKUP($I85,Veg_Parameters!$A$3:$N$65,6,FALSE)), 0, (VLOOKUP($I85,Veg_Parameters!$A$3:$N$65,6,FALSE)))</f>
        <v>0</v>
      </c>
      <c r="AN85" s="529">
        <f t="shared" si="114"/>
        <v>20</v>
      </c>
      <c r="AO85" s="529">
        <f t="shared" si="115"/>
        <v>0</v>
      </c>
      <c r="AP85" s="529">
        <f t="shared" si="116"/>
        <v>0</v>
      </c>
      <c r="AQ85" s="530">
        <f t="shared" si="132"/>
        <v>0</v>
      </c>
      <c r="AR85" s="527" t="s">
        <v>3</v>
      </c>
      <c r="AS85" s="527">
        <f>IF(ISNA(VLOOKUP($I85,Veg_Parameters!$A$3:$N$65,8,FALSE)), 0, (VLOOKUP($I85,Veg_Parameters!$A$3:$N$65,8,FALSE)))</f>
        <v>0</v>
      </c>
      <c r="AT85" s="527">
        <f>AB85*(IF(ISNA(VLOOKUP($I85,Veg_Parameters!$A$3:$N$65,9,FALSE)), 0, (VLOOKUP($I85,Veg_Parameters!$A$3:$N$65,9,FALSE))))</f>
        <v>0</v>
      </c>
      <c r="AU85" s="527">
        <f>IF(ISBLANK(A85),0,VLOOKUP($I85,Veg_Parameters!$A$4:$U$65,21,))</f>
        <v>0</v>
      </c>
      <c r="AV85" s="527">
        <f t="shared" si="133"/>
        <v>0</v>
      </c>
      <c r="AW85" s="529">
        <f t="shared" si="134"/>
        <v>0</v>
      </c>
      <c r="AX85" s="529">
        <f t="shared" si="135"/>
        <v>0</v>
      </c>
      <c r="AY85" s="529">
        <f t="shared" si="117"/>
        <v>0</v>
      </c>
      <c r="AZ85" s="529">
        <f t="shared" si="136"/>
        <v>0</v>
      </c>
      <c r="BA85" s="529">
        <f t="shared" si="137"/>
        <v>0</v>
      </c>
      <c r="BB85" s="529">
        <f t="shared" si="138"/>
        <v>0</v>
      </c>
      <c r="BC85" s="529">
        <f t="shared" si="118"/>
        <v>0</v>
      </c>
      <c r="BD85" s="531"/>
      <c r="BE85" s="527">
        <f>AH85*(IF(ISNA(VLOOKUP($N85,Veg_Parameters!$A$3:$N$65,5,FALSE)),0,(VLOOKUP($N85,Veg_Parameters!$A$3:$N$65,5,FALSE))))</f>
        <v>0</v>
      </c>
      <c r="BF85" s="527">
        <f>IF(ISNA(VLOOKUP($N85,Veg_Parameters!$A$3:$N$65,4,FALSE)),0,(VLOOKUP($N85,Veg_Parameters!$A$3:$N$65,4,FALSE)))</f>
        <v>0</v>
      </c>
      <c r="BG85" s="527">
        <f>AH85*(IF(ISNA(VLOOKUP($N85,Veg_Parameters!$A$3:$N$65,7,FALSE)),0, (VLOOKUP($N85,Veg_Parameters!$A$3:$N$65,7,FALSE))))</f>
        <v>0</v>
      </c>
      <c r="BH85" s="527">
        <f>IF(ISNA(VLOOKUP($N85,Veg_Parameters!$A$3:$N$65,6,FALSE)), 0, (VLOOKUP($N85,Veg_Parameters!$A$3:$N$65,6,FALSE)))</f>
        <v>0</v>
      </c>
      <c r="BI85" s="529">
        <f t="shared" si="119"/>
        <v>20</v>
      </c>
      <c r="BJ85" s="529">
        <f t="shared" si="139"/>
        <v>0</v>
      </c>
      <c r="BK85" s="529">
        <f t="shared" si="120"/>
        <v>0</v>
      </c>
      <c r="BL85" s="530">
        <f t="shared" si="140"/>
        <v>0</v>
      </c>
      <c r="BM85" s="527" t="s">
        <v>3</v>
      </c>
      <c r="BN85" s="527">
        <f>IF(ISNA(VLOOKUP(N85,Veg_Parameters!$A$3:$N$65,8,FALSE)), 0, (VLOOKUP($N85,Veg_Parameters!$A$3:$N$65,8,FALSE)))</f>
        <v>0</v>
      </c>
      <c r="BO85" s="527">
        <f>AH85*(IF(ISNA(VLOOKUP($N85,Veg_Parameters!$A$3:$N$65,9,FALSE)), 0, (VLOOKUP($N85,Veg_Parameters!$A$3:$N$65,9,FALSE))))</f>
        <v>0</v>
      </c>
      <c r="BP85" s="527" t="str">
        <f>IF(ISBLANK(N85),"0",VLOOKUP($N85,Veg_Parameters!$A$4:$U$65,21,))</f>
        <v>0</v>
      </c>
      <c r="BQ85" s="529">
        <f t="shared" si="141"/>
        <v>0</v>
      </c>
      <c r="BR85" s="529">
        <f t="shared" si="142"/>
        <v>0</v>
      </c>
      <c r="BS85" s="529">
        <f t="shared" si="121"/>
        <v>0</v>
      </c>
      <c r="BT85" s="529">
        <f t="shared" si="143"/>
        <v>0</v>
      </c>
      <c r="BU85" s="529">
        <f t="shared" si="144"/>
        <v>0</v>
      </c>
      <c r="BV85" s="529">
        <f t="shared" si="145"/>
        <v>0</v>
      </c>
      <c r="BW85" s="532" t="str">
        <f t="shared" si="122"/>
        <v/>
      </c>
      <c r="BX85" s="532" t="str">
        <f t="shared" si="123"/>
        <v/>
      </c>
      <c r="BY85" s="532" t="str">
        <f t="shared" si="124"/>
        <v/>
      </c>
      <c r="BZ85" s="532" t="str">
        <f t="shared" si="125"/>
        <v/>
      </c>
      <c r="CA85" s="532">
        <f t="shared" si="126"/>
        <v>0</v>
      </c>
      <c r="CB85" s="533"/>
      <c r="CC85" s="624">
        <f t="shared" si="127"/>
        <v>0</v>
      </c>
      <c r="CD85" s="534">
        <f t="shared" si="128"/>
        <v>0</v>
      </c>
      <c r="CE85" s="534">
        <f t="shared" si="129"/>
        <v>0</v>
      </c>
      <c r="CF85" s="534">
        <f t="shared" si="130"/>
        <v>0</v>
      </c>
      <c r="CG85" s="534"/>
      <c r="CH85" s="534"/>
      <c r="CI85" s="534">
        <f t="shared" si="146"/>
        <v>0</v>
      </c>
      <c r="CL85" s="534">
        <f>IF(ISNA(VLOOKUP(I85,Veg_Parameters!$A$3:$N$65,13,FALSE)),0,(VLOOKUP(I85,Veg_Parameters!$A$3:$N$65,13,FALSE)))</f>
        <v>0</v>
      </c>
      <c r="CM85" s="534">
        <f t="shared" si="147"/>
        <v>0</v>
      </c>
      <c r="CN85" s="534">
        <f>IF(ISNA(VLOOKUP(N85,Veg_Parameters!$A$3:$N$65,13,FALSE)),0,(VLOOKUP(N85,Veg_Parameters!$A$3:$N$65,13,FALSE)))</f>
        <v>0</v>
      </c>
      <c r="CO85" s="523">
        <f t="shared" si="148"/>
        <v>0</v>
      </c>
    </row>
    <row r="86" spans="1:93" x14ac:dyDescent="0.2">
      <c r="A86" s="227"/>
      <c r="B86" s="171" t="str">
        <f t="shared" si="149"/>
        <v/>
      </c>
      <c r="C86" s="230"/>
      <c r="D86" s="169"/>
      <c r="E86" s="165"/>
      <c r="F86" s="165"/>
      <c r="G86" s="165"/>
      <c r="H86" s="165"/>
      <c r="I86" s="168"/>
      <c r="J86" s="167"/>
      <c r="K86" s="168"/>
      <c r="L86" s="167"/>
      <c r="M86" s="167"/>
      <c r="N86" s="168"/>
      <c r="O86" s="168"/>
      <c r="P86" s="167"/>
      <c r="Q86" s="167"/>
      <c r="R86" s="167"/>
      <c r="S86" s="222" t="str">
        <f>IF(ISBLANK(A86),"",IF(ISNA(VLOOKUP(I86,Veg_Parameters!$A$3:$N$65,3,FALSE)),0,(VLOOKUP(I86,Veg_Parameters!$A$3:$N$65,3,FALSE))))</f>
        <v/>
      </c>
      <c r="T86" s="222" t="str">
        <f>IF(ISBLANK(N86),"",IF(ISNA(VLOOKUP(N86,Veg_Parameters!$A$3:$N$65,3,FALSE)),0,(VLOOKUP(N86,Veg_Parameters!$A$3:$N$65,3,FALSE))))</f>
        <v/>
      </c>
      <c r="U86" s="523">
        <f t="shared" si="131"/>
        <v>0</v>
      </c>
      <c r="V86" s="523">
        <f t="shared" si="108"/>
        <v>0</v>
      </c>
      <c r="W86" s="524">
        <f>IF(ISBLANK(A86),0,IF(ISNA(VLOOKUP($I86,Veg_Parameters!$A$3:$N$65,10,FALSE)),0,(VLOOKUP($I86,Veg_Parameters!$A$3:$N$65,10,FALSE))))</f>
        <v>0</v>
      </c>
      <c r="X86" s="524">
        <f>IF(ISBLANK(A86),0,IF(ISNA(VLOOKUP($I86,Veg_Parameters!$A$3:$N$65,11,FALSE)),0,(VLOOKUP($I86,Veg_Parameters!$A$3:$N$65,11,FALSE))))</f>
        <v>0</v>
      </c>
      <c r="Y86" s="524">
        <f>IF(ISBLANK(A86),0,IF(ISNA(VLOOKUP($I86,Veg_Parameters!$A$3:$N$65,12,FALSE)),0,(VLOOKUP($I86,Veg_Parameters!$A$3:$N$65,12,FALSE))))</f>
        <v>0</v>
      </c>
      <c r="Z86" s="525">
        <f t="shared" si="150"/>
        <v>0</v>
      </c>
      <c r="AA86" s="525">
        <f t="shared" si="109"/>
        <v>0</v>
      </c>
      <c r="AB86" s="525">
        <f t="shared" si="110"/>
        <v>0</v>
      </c>
      <c r="AC86" s="524">
        <f>IF(ISBLANK(N86),0,IF(ISNA(VLOOKUP($N86,Veg_Parameters!$A$3:$N$65,10,FALSE)),0,(VLOOKUP($N86,Veg_Parameters!$A$3:$N$65,10,FALSE))))</f>
        <v>0</v>
      </c>
      <c r="AD86" s="524">
        <f>IF(ISBLANK(N86),0,IF(ISNA(VLOOKUP($N86,Veg_Parameters!$A$3:$N$65,11,FALSE)),0,(VLOOKUP($N86,Veg_Parameters!$A$3:$N$65,11,FALSE))))</f>
        <v>0</v>
      </c>
      <c r="AE86" s="524">
        <f>IF(ISBLANK(N86), 0, IF(ISNA(VLOOKUP($N86,Veg_Parameters!$A$3:$N$65,12,FALSE)),0,(VLOOKUP($N86,Veg_Parameters!$A$3:$N$65,12,FALSE))))</f>
        <v>0</v>
      </c>
      <c r="AF86" s="523">
        <f t="shared" si="111"/>
        <v>0</v>
      </c>
      <c r="AG86" s="523">
        <f t="shared" si="112"/>
        <v>0</v>
      </c>
      <c r="AH86" s="523">
        <f t="shared" si="113"/>
        <v>0</v>
      </c>
      <c r="AI86" s="526"/>
      <c r="AJ86" s="527">
        <f>AB86*(IF(ISNA(VLOOKUP($I86,Veg_Parameters!$A$3:$N$65,5,FALSE)),0,(VLOOKUP($I86,Veg_Parameters!$A$3:$N$65,5,FALSE))))</f>
        <v>0</v>
      </c>
      <c r="AK86" s="527">
        <f>IF(ISNA(VLOOKUP($I86,Veg_Parameters!$A$3:$N$65,4,FALSE)),0,(VLOOKUP($I86,Veg_Parameters!$A$3:$N$65,4,FALSE)))</f>
        <v>0</v>
      </c>
      <c r="AL86" s="527">
        <f>AB86*(IF(ISNA(VLOOKUP($I86,Veg_Parameters!$A$3:$N$65,7,FALSE)),0, (VLOOKUP($I86,Veg_Parameters!$A$3:$N$65,7,FALSE))))</f>
        <v>0</v>
      </c>
      <c r="AM86" s="528">
        <f>IF(ISNA(VLOOKUP($I86,Veg_Parameters!$A$3:$N$65,6,FALSE)), 0, (VLOOKUP($I86,Veg_Parameters!$A$3:$N$65,6,FALSE)))</f>
        <v>0</v>
      </c>
      <c r="AN86" s="529">
        <f t="shared" si="114"/>
        <v>20</v>
      </c>
      <c r="AO86" s="529">
        <f t="shared" si="115"/>
        <v>0</v>
      </c>
      <c r="AP86" s="529">
        <f t="shared" si="116"/>
        <v>0</v>
      </c>
      <c r="AQ86" s="530">
        <f t="shared" si="132"/>
        <v>0</v>
      </c>
      <c r="AR86" s="527" t="s">
        <v>3</v>
      </c>
      <c r="AS86" s="527">
        <f>IF(ISNA(VLOOKUP($I86,Veg_Parameters!$A$3:$N$65,8,FALSE)), 0, (VLOOKUP($I86,Veg_Parameters!$A$3:$N$65,8,FALSE)))</f>
        <v>0</v>
      </c>
      <c r="AT86" s="527">
        <f>AB86*(IF(ISNA(VLOOKUP($I86,Veg_Parameters!$A$3:$N$65,9,FALSE)), 0, (VLOOKUP($I86,Veg_Parameters!$A$3:$N$65,9,FALSE))))</f>
        <v>0</v>
      </c>
      <c r="AU86" s="527">
        <f>IF(ISBLANK(A86),0,VLOOKUP($I86,Veg_Parameters!$A$4:$U$65,21,))</f>
        <v>0</v>
      </c>
      <c r="AV86" s="527">
        <f t="shared" si="133"/>
        <v>0</v>
      </c>
      <c r="AW86" s="529">
        <f t="shared" si="134"/>
        <v>0</v>
      </c>
      <c r="AX86" s="529">
        <f t="shared" si="135"/>
        <v>0</v>
      </c>
      <c r="AY86" s="529">
        <f t="shared" si="117"/>
        <v>0</v>
      </c>
      <c r="AZ86" s="529">
        <f t="shared" si="136"/>
        <v>0</v>
      </c>
      <c r="BA86" s="529">
        <f t="shared" si="137"/>
        <v>0</v>
      </c>
      <c r="BB86" s="529">
        <f t="shared" si="138"/>
        <v>0</v>
      </c>
      <c r="BC86" s="529">
        <f t="shared" si="118"/>
        <v>0</v>
      </c>
      <c r="BD86" s="531"/>
      <c r="BE86" s="527">
        <f>AH86*(IF(ISNA(VLOOKUP($N86,Veg_Parameters!$A$3:$N$65,5,FALSE)),0,(VLOOKUP($N86,Veg_Parameters!$A$3:$N$65,5,FALSE))))</f>
        <v>0</v>
      </c>
      <c r="BF86" s="527">
        <f>IF(ISNA(VLOOKUP($N86,Veg_Parameters!$A$3:$N$65,4,FALSE)),0,(VLOOKUP($N86,Veg_Parameters!$A$3:$N$65,4,FALSE)))</f>
        <v>0</v>
      </c>
      <c r="BG86" s="527">
        <f>AH86*(IF(ISNA(VLOOKUP($N86,Veg_Parameters!$A$3:$N$65,7,FALSE)),0, (VLOOKUP($N86,Veg_Parameters!$A$3:$N$65,7,FALSE))))</f>
        <v>0</v>
      </c>
      <c r="BH86" s="527">
        <f>IF(ISNA(VLOOKUP($N86,Veg_Parameters!$A$3:$N$65,6,FALSE)), 0, (VLOOKUP($N86,Veg_Parameters!$A$3:$N$65,6,FALSE)))</f>
        <v>0</v>
      </c>
      <c r="BI86" s="529">
        <f t="shared" si="119"/>
        <v>20</v>
      </c>
      <c r="BJ86" s="529">
        <f t="shared" si="139"/>
        <v>0</v>
      </c>
      <c r="BK86" s="529">
        <f t="shared" si="120"/>
        <v>0</v>
      </c>
      <c r="BL86" s="530">
        <f t="shared" si="140"/>
        <v>0</v>
      </c>
      <c r="BM86" s="527" t="s">
        <v>3</v>
      </c>
      <c r="BN86" s="527">
        <f>IF(ISNA(VLOOKUP(N86,Veg_Parameters!$A$3:$N$65,8,FALSE)), 0, (VLOOKUP($N86,Veg_Parameters!$A$3:$N$65,8,FALSE)))</f>
        <v>0</v>
      </c>
      <c r="BO86" s="527">
        <f>AH86*(IF(ISNA(VLOOKUP($N86,Veg_Parameters!$A$3:$N$65,9,FALSE)), 0, (VLOOKUP($N86,Veg_Parameters!$A$3:$N$65,9,FALSE))))</f>
        <v>0</v>
      </c>
      <c r="BP86" s="527" t="str">
        <f>IF(ISBLANK(N86),"0",VLOOKUP($N86,Veg_Parameters!$A$4:$U$65,21,))</f>
        <v>0</v>
      </c>
      <c r="BQ86" s="529">
        <f t="shared" si="141"/>
        <v>0</v>
      </c>
      <c r="BR86" s="529">
        <f t="shared" si="142"/>
        <v>0</v>
      </c>
      <c r="BS86" s="529">
        <f t="shared" si="121"/>
        <v>0</v>
      </c>
      <c r="BT86" s="529">
        <f t="shared" si="143"/>
        <v>0</v>
      </c>
      <c r="BU86" s="529">
        <f t="shared" si="144"/>
        <v>0</v>
      </c>
      <c r="BV86" s="529">
        <f t="shared" si="145"/>
        <v>0</v>
      </c>
      <c r="BW86" s="532" t="str">
        <f t="shared" si="122"/>
        <v/>
      </c>
      <c r="BX86" s="532" t="str">
        <f t="shared" si="123"/>
        <v/>
      </c>
      <c r="BY86" s="532" t="str">
        <f t="shared" si="124"/>
        <v/>
      </c>
      <c r="BZ86" s="532" t="str">
        <f t="shared" si="125"/>
        <v/>
      </c>
      <c r="CA86" s="532">
        <f t="shared" si="126"/>
        <v>0</v>
      </c>
      <c r="CB86" s="533"/>
      <c r="CC86" s="624">
        <f t="shared" si="127"/>
        <v>0</v>
      </c>
      <c r="CD86" s="534">
        <f t="shared" si="128"/>
        <v>0</v>
      </c>
      <c r="CE86" s="534">
        <f t="shared" si="129"/>
        <v>0</v>
      </c>
      <c r="CF86" s="534">
        <f t="shared" si="130"/>
        <v>0</v>
      </c>
      <c r="CG86" s="534"/>
      <c r="CH86" s="534"/>
      <c r="CI86" s="534">
        <f t="shared" si="146"/>
        <v>0</v>
      </c>
      <c r="CL86" s="534">
        <f>IF(ISNA(VLOOKUP(I86,Veg_Parameters!$A$3:$N$65,13,FALSE)),0,(VLOOKUP(I86,Veg_Parameters!$A$3:$N$65,13,FALSE)))</f>
        <v>0</v>
      </c>
      <c r="CM86" s="534">
        <f t="shared" si="147"/>
        <v>0</v>
      </c>
      <c r="CN86" s="534">
        <f>IF(ISNA(VLOOKUP(N86,Veg_Parameters!$A$3:$N$65,13,FALSE)),0,(VLOOKUP(N86,Veg_Parameters!$A$3:$N$65,13,FALSE)))</f>
        <v>0</v>
      </c>
      <c r="CO86" s="523">
        <f t="shared" si="148"/>
        <v>0</v>
      </c>
    </row>
    <row r="87" spans="1:93" x14ac:dyDescent="0.2">
      <c r="A87" s="227"/>
      <c r="B87" s="171" t="str">
        <f t="shared" si="149"/>
        <v/>
      </c>
      <c r="C87" s="230"/>
      <c r="D87" s="169"/>
      <c r="E87" s="165"/>
      <c r="F87" s="165"/>
      <c r="G87" s="165"/>
      <c r="H87" s="165"/>
      <c r="I87" s="168"/>
      <c r="J87" s="167"/>
      <c r="K87" s="168"/>
      <c r="L87" s="167"/>
      <c r="M87" s="167"/>
      <c r="N87" s="168"/>
      <c r="O87" s="168"/>
      <c r="P87" s="167"/>
      <c r="Q87" s="167"/>
      <c r="R87" s="167"/>
      <c r="S87" s="222" t="str">
        <f>IF(ISBLANK(A87),"",IF(ISNA(VLOOKUP(I87,Veg_Parameters!$A$3:$N$65,3,FALSE)),0,(VLOOKUP(I87,Veg_Parameters!$A$3:$N$65,3,FALSE))))</f>
        <v/>
      </c>
      <c r="T87" s="222" t="str">
        <f>IF(ISBLANK(N87),"",IF(ISNA(VLOOKUP(N87,Veg_Parameters!$A$3:$N$65,3,FALSE)),0,(VLOOKUP(N87,Veg_Parameters!$A$3:$N$65,3,FALSE))))</f>
        <v/>
      </c>
      <c r="U87" s="523">
        <f t="shared" si="131"/>
        <v>0</v>
      </c>
      <c r="V87" s="523">
        <f t="shared" si="108"/>
        <v>0</v>
      </c>
      <c r="W87" s="524">
        <f>IF(ISBLANK(A87),0,IF(ISNA(VLOOKUP($I87,Veg_Parameters!$A$3:$N$65,10,FALSE)),0,(VLOOKUP($I87,Veg_Parameters!$A$3:$N$65,10,FALSE))))</f>
        <v>0</v>
      </c>
      <c r="X87" s="524">
        <f>IF(ISBLANK(A87),0,IF(ISNA(VLOOKUP($I87,Veg_Parameters!$A$3:$N$65,11,FALSE)),0,(VLOOKUP($I87,Veg_Parameters!$A$3:$N$65,11,FALSE))))</f>
        <v>0</v>
      </c>
      <c r="Y87" s="524">
        <f>IF(ISBLANK(A87),0,IF(ISNA(VLOOKUP($I87,Veg_Parameters!$A$3:$N$65,12,FALSE)),0,(VLOOKUP($I87,Veg_Parameters!$A$3:$N$65,12,FALSE))))</f>
        <v>0</v>
      </c>
      <c r="Z87" s="525">
        <f t="shared" si="150"/>
        <v>0</v>
      </c>
      <c r="AA87" s="525">
        <f t="shared" si="109"/>
        <v>0</v>
      </c>
      <c r="AB87" s="525">
        <f t="shared" si="110"/>
        <v>0</v>
      </c>
      <c r="AC87" s="524">
        <f>IF(ISBLANK(N87),0,IF(ISNA(VLOOKUP($N87,Veg_Parameters!$A$3:$N$65,10,FALSE)),0,(VLOOKUP($N87,Veg_Parameters!$A$3:$N$65,10,FALSE))))</f>
        <v>0</v>
      </c>
      <c r="AD87" s="524">
        <f>IF(ISBLANK(N87),0,IF(ISNA(VLOOKUP($N87,Veg_Parameters!$A$3:$N$65,11,FALSE)),0,(VLOOKUP($N87,Veg_Parameters!$A$3:$N$65,11,FALSE))))</f>
        <v>0</v>
      </c>
      <c r="AE87" s="524">
        <f>IF(ISBLANK(N87), 0, IF(ISNA(VLOOKUP($N87,Veg_Parameters!$A$3:$N$65,12,FALSE)),0,(VLOOKUP($N87,Veg_Parameters!$A$3:$N$65,12,FALSE))))</f>
        <v>0</v>
      </c>
      <c r="AF87" s="523">
        <f t="shared" si="111"/>
        <v>0</v>
      </c>
      <c r="AG87" s="523">
        <f t="shared" si="112"/>
        <v>0</v>
      </c>
      <c r="AH87" s="523">
        <f t="shared" si="113"/>
        <v>0</v>
      </c>
      <c r="AI87" s="526"/>
      <c r="AJ87" s="527">
        <f>AB87*(IF(ISNA(VLOOKUP($I87,Veg_Parameters!$A$3:$N$65,5,FALSE)),0,(VLOOKUP($I87,Veg_Parameters!$A$3:$N$65,5,FALSE))))</f>
        <v>0</v>
      </c>
      <c r="AK87" s="527">
        <f>IF(ISNA(VLOOKUP($I87,Veg_Parameters!$A$3:$N$65,4,FALSE)),0,(VLOOKUP($I87,Veg_Parameters!$A$3:$N$65,4,FALSE)))</f>
        <v>0</v>
      </c>
      <c r="AL87" s="527">
        <f>AB87*(IF(ISNA(VLOOKUP($I87,Veg_Parameters!$A$3:$N$65,7,FALSE)),0, (VLOOKUP($I87,Veg_Parameters!$A$3:$N$65,7,FALSE))))</f>
        <v>0</v>
      </c>
      <c r="AM87" s="528">
        <f>IF(ISNA(VLOOKUP($I87,Veg_Parameters!$A$3:$N$65,6,FALSE)), 0, (VLOOKUP($I87,Veg_Parameters!$A$3:$N$65,6,FALSE)))</f>
        <v>0</v>
      </c>
      <c r="AN87" s="529">
        <f t="shared" si="114"/>
        <v>20</v>
      </c>
      <c r="AO87" s="529">
        <f t="shared" si="115"/>
        <v>0</v>
      </c>
      <c r="AP87" s="529">
        <f t="shared" si="116"/>
        <v>0</v>
      </c>
      <c r="AQ87" s="530">
        <f t="shared" si="132"/>
        <v>0</v>
      </c>
      <c r="AR87" s="527" t="s">
        <v>3</v>
      </c>
      <c r="AS87" s="527">
        <f>IF(ISNA(VLOOKUP($I87,Veg_Parameters!$A$3:$N$65,8,FALSE)), 0, (VLOOKUP($I87,Veg_Parameters!$A$3:$N$65,8,FALSE)))</f>
        <v>0</v>
      </c>
      <c r="AT87" s="527">
        <f>AB87*(IF(ISNA(VLOOKUP($I87,Veg_Parameters!$A$3:$N$65,9,FALSE)), 0, (VLOOKUP($I87,Veg_Parameters!$A$3:$N$65,9,FALSE))))</f>
        <v>0</v>
      </c>
      <c r="AU87" s="527">
        <f>IF(ISBLANK(A87),0,VLOOKUP($I87,Veg_Parameters!$A$4:$U$65,21,))</f>
        <v>0</v>
      </c>
      <c r="AV87" s="527">
        <f t="shared" si="133"/>
        <v>0</v>
      </c>
      <c r="AW87" s="529">
        <f t="shared" si="134"/>
        <v>0</v>
      </c>
      <c r="AX87" s="529">
        <f t="shared" si="135"/>
        <v>0</v>
      </c>
      <c r="AY87" s="529">
        <f t="shared" si="117"/>
        <v>0</v>
      </c>
      <c r="AZ87" s="529">
        <f t="shared" si="136"/>
        <v>0</v>
      </c>
      <c r="BA87" s="529">
        <f t="shared" si="137"/>
        <v>0</v>
      </c>
      <c r="BB87" s="529">
        <f t="shared" si="138"/>
        <v>0</v>
      </c>
      <c r="BC87" s="529">
        <f t="shared" si="118"/>
        <v>0</v>
      </c>
      <c r="BD87" s="531"/>
      <c r="BE87" s="527">
        <f>AH87*(IF(ISNA(VLOOKUP($N87,Veg_Parameters!$A$3:$N$65,5,FALSE)),0,(VLOOKUP($N87,Veg_Parameters!$A$3:$N$65,5,FALSE))))</f>
        <v>0</v>
      </c>
      <c r="BF87" s="527">
        <f>IF(ISNA(VLOOKUP($N87,Veg_Parameters!$A$3:$N$65,4,FALSE)),0,(VLOOKUP($N87,Veg_Parameters!$A$3:$N$65,4,FALSE)))</f>
        <v>0</v>
      </c>
      <c r="BG87" s="527">
        <f>AH87*(IF(ISNA(VLOOKUP($N87,Veg_Parameters!$A$3:$N$65,7,FALSE)),0, (VLOOKUP($N87,Veg_Parameters!$A$3:$N$65,7,FALSE))))</f>
        <v>0</v>
      </c>
      <c r="BH87" s="527">
        <f>IF(ISNA(VLOOKUP($N87,Veg_Parameters!$A$3:$N$65,6,FALSE)), 0, (VLOOKUP($N87,Veg_Parameters!$A$3:$N$65,6,FALSE)))</f>
        <v>0</v>
      </c>
      <c r="BI87" s="529">
        <f t="shared" si="119"/>
        <v>20</v>
      </c>
      <c r="BJ87" s="529">
        <f t="shared" si="139"/>
        <v>0</v>
      </c>
      <c r="BK87" s="529">
        <f t="shared" si="120"/>
        <v>0</v>
      </c>
      <c r="BL87" s="530">
        <f t="shared" si="140"/>
        <v>0</v>
      </c>
      <c r="BM87" s="527" t="s">
        <v>3</v>
      </c>
      <c r="BN87" s="527">
        <f>IF(ISNA(VLOOKUP(N87,Veg_Parameters!$A$3:$N$65,8,FALSE)), 0, (VLOOKUP($N87,Veg_Parameters!$A$3:$N$65,8,FALSE)))</f>
        <v>0</v>
      </c>
      <c r="BO87" s="527">
        <f>AH87*(IF(ISNA(VLOOKUP($N87,Veg_Parameters!$A$3:$N$65,9,FALSE)), 0, (VLOOKUP($N87,Veg_Parameters!$A$3:$N$65,9,FALSE))))</f>
        <v>0</v>
      </c>
      <c r="BP87" s="527" t="str">
        <f>IF(ISBLANK(N87),"0",VLOOKUP($N87,Veg_Parameters!$A$4:$U$65,21,))</f>
        <v>0</v>
      </c>
      <c r="BQ87" s="529">
        <f t="shared" si="141"/>
        <v>0</v>
      </c>
      <c r="BR87" s="529">
        <f t="shared" si="142"/>
        <v>0</v>
      </c>
      <c r="BS87" s="529">
        <f t="shared" si="121"/>
        <v>0</v>
      </c>
      <c r="BT87" s="529">
        <f t="shared" si="143"/>
        <v>0</v>
      </c>
      <c r="BU87" s="529">
        <f t="shared" si="144"/>
        <v>0</v>
      </c>
      <c r="BV87" s="529">
        <f t="shared" si="145"/>
        <v>0</v>
      </c>
      <c r="BW87" s="532" t="str">
        <f t="shared" si="122"/>
        <v/>
      </c>
      <c r="BX87" s="532" t="str">
        <f t="shared" si="123"/>
        <v/>
      </c>
      <c r="BY87" s="532" t="str">
        <f t="shared" si="124"/>
        <v/>
      </c>
      <c r="BZ87" s="532" t="str">
        <f t="shared" si="125"/>
        <v/>
      </c>
      <c r="CA87" s="532">
        <f t="shared" si="126"/>
        <v>0</v>
      </c>
      <c r="CB87" s="533"/>
      <c r="CC87" s="624">
        <f t="shared" si="127"/>
        <v>0</v>
      </c>
      <c r="CD87" s="534">
        <f t="shared" si="128"/>
        <v>0</v>
      </c>
      <c r="CE87" s="534">
        <f t="shared" si="129"/>
        <v>0</v>
      </c>
      <c r="CF87" s="534">
        <f t="shared" si="130"/>
        <v>0</v>
      </c>
      <c r="CG87" s="534"/>
      <c r="CH87" s="534"/>
      <c r="CI87" s="534">
        <f t="shared" si="146"/>
        <v>0</v>
      </c>
      <c r="CL87" s="534">
        <f>IF(ISNA(VLOOKUP(I87,Veg_Parameters!$A$3:$N$65,13,FALSE)),0,(VLOOKUP(I87,Veg_Parameters!$A$3:$N$65,13,FALSE)))</f>
        <v>0</v>
      </c>
      <c r="CM87" s="534">
        <f t="shared" si="147"/>
        <v>0</v>
      </c>
      <c r="CN87" s="534">
        <f>IF(ISNA(VLOOKUP(N87,Veg_Parameters!$A$3:$N$65,13,FALSE)),0,(VLOOKUP(N87,Veg_Parameters!$A$3:$N$65,13,FALSE)))</f>
        <v>0</v>
      </c>
      <c r="CO87" s="523">
        <f t="shared" si="148"/>
        <v>0</v>
      </c>
    </row>
    <row r="88" spans="1:93" x14ac:dyDescent="0.2">
      <c r="A88" s="227"/>
      <c r="B88" s="171" t="str">
        <f t="shared" si="149"/>
        <v/>
      </c>
      <c r="C88" s="230"/>
      <c r="D88" s="169"/>
      <c r="E88" s="165"/>
      <c r="F88" s="165"/>
      <c r="G88" s="165"/>
      <c r="H88" s="165"/>
      <c r="I88" s="168"/>
      <c r="J88" s="167"/>
      <c r="K88" s="168"/>
      <c r="L88" s="167"/>
      <c r="M88" s="167"/>
      <c r="N88" s="168"/>
      <c r="O88" s="168"/>
      <c r="P88" s="167"/>
      <c r="Q88" s="167"/>
      <c r="R88" s="167"/>
      <c r="S88" s="222" t="str">
        <f>IF(ISBLANK(A88),"",IF(ISNA(VLOOKUP(I88,Veg_Parameters!$A$3:$N$65,3,FALSE)),0,(VLOOKUP(I88,Veg_Parameters!$A$3:$N$65,3,FALSE))))</f>
        <v/>
      </c>
      <c r="T88" s="222" t="str">
        <f>IF(ISBLANK(N88),"",IF(ISNA(VLOOKUP(N88,Veg_Parameters!$A$3:$N$65,3,FALSE)),0,(VLOOKUP(N88,Veg_Parameters!$A$3:$N$65,3,FALSE))))</f>
        <v/>
      </c>
      <c r="U88" s="523">
        <f t="shared" si="131"/>
        <v>0</v>
      </c>
      <c r="V88" s="523">
        <f t="shared" si="108"/>
        <v>0</v>
      </c>
      <c r="W88" s="524">
        <f>IF(ISBLANK(A88),0,IF(ISNA(VLOOKUP($I88,Veg_Parameters!$A$3:$N$65,10,FALSE)),0,(VLOOKUP($I88,Veg_Parameters!$A$3:$N$65,10,FALSE))))</f>
        <v>0</v>
      </c>
      <c r="X88" s="524">
        <f>IF(ISBLANK(A88),0,IF(ISNA(VLOOKUP($I88,Veg_Parameters!$A$3:$N$65,11,FALSE)),0,(VLOOKUP($I88,Veg_Parameters!$A$3:$N$65,11,FALSE))))</f>
        <v>0</v>
      </c>
      <c r="Y88" s="524">
        <f>IF(ISBLANK(A88),0,IF(ISNA(VLOOKUP($I88,Veg_Parameters!$A$3:$N$65,12,FALSE)),0,(VLOOKUP($I88,Veg_Parameters!$A$3:$N$65,12,FALSE))))</f>
        <v>0</v>
      </c>
      <c r="Z88" s="525">
        <f t="shared" si="150"/>
        <v>0</v>
      </c>
      <c r="AA88" s="525">
        <f t="shared" si="109"/>
        <v>0</v>
      </c>
      <c r="AB88" s="525">
        <f t="shared" si="110"/>
        <v>0</v>
      </c>
      <c r="AC88" s="524">
        <f>IF(ISBLANK(N88),0,IF(ISNA(VLOOKUP($N88,Veg_Parameters!$A$3:$N$65,10,FALSE)),0,(VLOOKUP($N88,Veg_Parameters!$A$3:$N$65,10,FALSE))))</f>
        <v>0</v>
      </c>
      <c r="AD88" s="524">
        <f>IF(ISBLANK(N88),0,IF(ISNA(VLOOKUP($N88,Veg_Parameters!$A$3:$N$65,11,FALSE)),0,(VLOOKUP($N88,Veg_Parameters!$A$3:$N$65,11,FALSE))))</f>
        <v>0</v>
      </c>
      <c r="AE88" s="524">
        <f>IF(ISBLANK(N88), 0, IF(ISNA(VLOOKUP($N88,Veg_Parameters!$A$3:$N$65,12,FALSE)),0,(VLOOKUP($N88,Veg_Parameters!$A$3:$N$65,12,FALSE))))</f>
        <v>0</v>
      </c>
      <c r="AF88" s="523">
        <f t="shared" si="111"/>
        <v>0</v>
      </c>
      <c r="AG88" s="523">
        <f t="shared" si="112"/>
        <v>0</v>
      </c>
      <c r="AH88" s="523">
        <f t="shared" si="113"/>
        <v>0</v>
      </c>
      <c r="AI88" s="526"/>
      <c r="AJ88" s="527">
        <f>AB88*(IF(ISNA(VLOOKUP($I88,Veg_Parameters!$A$3:$N$65,5,FALSE)),0,(VLOOKUP($I88,Veg_Parameters!$A$3:$N$65,5,FALSE))))</f>
        <v>0</v>
      </c>
      <c r="AK88" s="527">
        <f>IF(ISNA(VLOOKUP($I88,Veg_Parameters!$A$3:$N$65,4,FALSE)),0,(VLOOKUP($I88,Veg_Parameters!$A$3:$N$65,4,FALSE)))</f>
        <v>0</v>
      </c>
      <c r="AL88" s="527">
        <f>AB88*(IF(ISNA(VLOOKUP($I88,Veg_Parameters!$A$3:$N$65,7,FALSE)),0, (VLOOKUP($I88,Veg_Parameters!$A$3:$N$65,7,FALSE))))</f>
        <v>0</v>
      </c>
      <c r="AM88" s="528">
        <f>IF(ISNA(VLOOKUP($I88,Veg_Parameters!$A$3:$N$65,6,FALSE)), 0, (VLOOKUP($I88,Veg_Parameters!$A$3:$N$65,6,FALSE)))</f>
        <v>0</v>
      </c>
      <c r="AN88" s="529">
        <f t="shared" si="114"/>
        <v>20</v>
      </c>
      <c r="AO88" s="529">
        <f t="shared" si="115"/>
        <v>0</v>
      </c>
      <c r="AP88" s="529">
        <f t="shared" si="116"/>
        <v>0</v>
      </c>
      <c r="AQ88" s="530">
        <f t="shared" si="132"/>
        <v>0</v>
      </c>
      <c r="AR88" s="527" t="s">
        <v>3</v>
      </c>
      <c r="AS88" s="527">
        <f>IF(ISNA(VLOOKUP($I88,Veg_Parameters!$A$3:$N$65,8,FALSE)), 0, (VLOOKUP($I88,Veg_Parameters!$A$3:$N$65,8,FALSE)))</f>
        <v>0</v>
      </c>
      <c r="AT88" s="527">
        <f>AB88*(IF(ISNA(VLOOKUP($I88,Veg_Parameters!$A$3:$N$65,9,FALSE)), 0, (VLOOKUP($I88,Veg_Parameters!$A$3:$N$65,9,FALSE))))</f>
        <v>0</v>
      </c>
      <c r="AU88" s="527">
        <f>IF(ISBLANK(A88),0,VLOOKUP($I88,Veg_Parameters!$A$4:$U$65,21,))</f>
        <v>0</v>
      </c>
      <c r="AV88" s="527">
        <f t="shared" si="133"/>
        <v>0</v>
      </c>
      <c r="AW88" s="529">
        <f t="shared" si="134"/>
        <v>0</v>
      </c>
      <c r="AX88" s="529">
        <f t="shared" si="135"/>
        <v>0</v>
      </c>
      <c r="AY88" s="529">
        <f t="shared" si="117"/>
        <v>0</v>
      </c>
      <c r="AZ88" s="529">
        <f t="shared" si="136"/>
        <v>0</v>
      </c>
      <c r="BA88" s="529">
        <f t="shared" si="137"/>
        <v>0</v>
      </c>
      <c r="BB88" s="529">
        <f t="shared" si="138"/>
        <v>0</v>
      </c>
      <c r="BC88" s="529">
        <f t="shared" si="118"/>
        <v>0</v>
      </c>
      <c r="BD88" s="531"/>
      <c r="BE88" s="527">
        <f>AH88*(IF(ISNA(VLOOKUP($N88,Veg_Parameters!$A$3:$N$65,5,FALSE)),0,(VLOOKUP($N88,Veg_Parameters!$A$3:$N$65,5,FALSE))))</f>
        <v>0</v>
      </c>
      <c r="BF88" s="527">
        <f>IF(ISNA(VLOOKUP($N88,Veg_Parameters!$A$3:$N$65,4,FALSE)),0,(VLOOKUP($N88,Veg_Parameters!$A$3:$N$65,4,FALSE)))</f>
        <v>0</v>
      </c>
      <c r="BG88" s="527">
        <f>AH88*(IF(ISNA(VLOOKUP($N88,Veg_Parameters!$A$3:$N$65,7,FALSE)),0, (VLOOKUP($N88,Veg_Parameters!$A$3:$N$65,7,FALSE))))</f>
        <v>0</v>
      </c>
      <c r="BH88" s="527">
        <f>IF(ISNA(VLOOKUP($N88,Veg_Parameters!$A$3:$N$65,6,FALSE)), 0, (VLOOKUP($N88,Veg_Parameters!$A$3:$N$65,6,FALSE)))</f>
        <v>0</v>
      </c>
      <c r="BI88" s="529">
        <f t="shared" si="119"/>
        <v>20</v>
      </c>
      <c r="BJ88" s="529">
        <f t="shared" si="139"/>
        <v>0</v>
      </c>
      <c r="BK88" s="529">
        <f t="shared" si="120"/>
        <v>0</v>
      </c>
      <c r="BL88" s="530">
        <f t="shared" si="140"/>
        <v>0</v>
      </c>
      <c r="BM88" s="527" t="s">
        <v>3</v>
      </c>
      <c r="BN88" s="527">
        <f>IF(ISNA(VLOOKUP(N88,Veg_Parameters!$A$3:$N$65,8,FALSE)), 0, (VLOOKUP($N88,Veg_Parameters!$A$3:$N$65,8,FALSE)))</f>
        <v>0</v>
      </c>
      <c r="BO88" s="527">
        <f>AH88*(IF(ISNA(VLOOKUP($N88,Veg_Parameters!$A$3:$N$65,9,FALSE)), 0, (VLOOKUP($N88,Veg_Parameters!$A$3:$N$65,9,FALSE))))</f>
        <v>0</v>
      </c>
      <c r="BP88" s="527" t="str">
        <f>IF(ISBLANK(N88),"0",VLOOKUP($N88,Veg_Parameters!$A$4:$U$65,21,))</f>
        <v>0</v>
      </c>
      <c r="BQ88" s="529">
        <f t="shared" si="141"/>
        <v>0</v>
      </c>
      <c r="BR88" s="529">
        <f t="shared" si="142"/>
        <v>0</v>
      </c>
      <c r="BS88" s="529">
        <f t="shared" si="121"/>
        <v>0</v>
      </c>
      <c r="BT88" s="529">
        <f t="shared" si="143"/>
        <v>0</v>
      </c>
      <c r="BU88" s="529">
        <f t="shared" si="144"/>
        <v>0</v>
      </c>
      <c r="BV88" s="529">
        <f t="shared" si="145"/>
        <v>0</v>
      </c>
      <c r="BW88" s="532" t="str">
        <f t="shared" si="122"/>
        <v/>
      </c>
      <c r="BX88" s="532" t="str">
        <f t="shared" si="123"/>
        <v/>
      </c>
      <c r="BY88" s="532" t="str">
        <f t="shared" si="124"/>
        <v/>
      </c>
      <c r="BZ88" s="532" t="str">
        <f t="shared" si="125"/>
        <v/>
      </c>
      <c r="CA88" s="532">
        <f t="shared" si="126"/>
        <v>0</v>
      </c>
      <c r="CB88" s="533"/>
      <c r="CC88" s="624">
        <f t="shared" si="127"/>
        <v>0</v>
      </c>
      <c r="CD88" s="534">
        <f t="shared" si="128"/>
        <v>0</v>
      </c>
      <c r="CE88" s="534">
        <f t="shared" si="129"/>
        <v>0</v>
      </c>
      <c r="CF88" s="534">
        <f t="shared" si="130"/>
        <v>0</v>
      </c>
      <c r="CG88" s="534"/>
      <c r="CH88" s="534"/>
      <c r="CI88" s="534">
        <f t="shared" si="146"/>
        <v>0</v>
      </c>
      <c r="CL88" s="534">
        <f>IF(ISNA(VLOOKUP(I88,Veg_Parameters!$A$3:$N$65,13,FALSE)),0,(VLOOKUP(I88,Veg_Parameters!$A$3:$N$65,13,FALSE)))</f>
        <v>0</v>
      </c>
      <c r="CM88" s="534">
        <f t="shared" si="147"/>
        <v>0</v>
      </c>
      <c r="CN88" s="534">
        <f>IF(ISNA(VLOOKUP(N88,Veg_Parameters!$A$3:$N$65,13,FALSE)),0,(VLOOKUP(N88,Veg_Parameters!$A$3:$N$65,13,FALSE)))</f>
        <v>0</v>
      </c>
      <c r="CO88" s="523">
        <f t="shared" si="148"/>
        <v>0</v>
      </c>
    </row>
    <row r="89" spans="1:93" x14ac:dyDescent="0.2">
      <c r="A89" s="227"/>
      <c r="B89" s="171" t="str">
        <f t="shared" si="149"/>
        <v/>
      </c>
      <c r="C89" s="230"/>
      <c r="D89" s="169"/>
      <c r="E89" s="165"/>
      <c r="F89" s="165"/>
      <c r="G89" s="165"/>
      <c r="H89" s="165"/>
      <c r="I89" s="168"/>
      <c r="J89" s="167"/>
      <c r="K89" s="168"/>
      <c r="L89" s="167"/>
      <c r="M89" s="167"/>
      <c r="N89" s="168"/>
      <c r="O89" s="168"/>
      <c r="P89" s="167"/>
      <c r="Q89" s="167"/>
      <c r="R89" s="167"/>
      <c r="S89" s="222" t="str">
        <f>IF(ISBLANK(A89),"",IF(ISNA(VLOOKUP(I89,Veg_Parameters!$A$3:$N$65,3,FALSE)),0,(VLOOKUP(I89,Veg_Parameters!$A$3:$N$65,3,FALSE))))</f>
        <v/>
      </c>
      <c r="T89" s="222" t="str">
        <f>IF(ISBLANK(N89),"",IF(ISNA(VLOOKUP(N89,Veg_Parameters!$A$3:$N$65,3,FALSE)),0,(VLOOKUP(N89,Veg_Parameters!$A$3:$N$65,3,FALSE))))</f>
        <v/>
      </c>
      <c r="U89" s="523">
        <f t="shared" si="131"/>
        <v>0</v>
      </c>
      <c r="V89" s="523">
        <f t="shared" si="108"/>
        <v>0</v>
      </c>
      <c r="W89" s="524">
        <f>IF(ISBLANK(A89),0,IF(ISNA(VLOOKUP($I89,Veg_Parameters!$A$3:$N$65,10,FALSE)),0,(VLOOKUP($I89,Veg_Parameters!$A$3:$N$65,10,FALSE))))</f>
        <v>0</v>
      </c>
      <c r="X89" s="524">
        <f>IF(ISBLANK(A89),0,IF(ISNA(VLOOKUP($I89,Veg_Parameters!$A$3:$N$65,11,FALSE)),0,(VLOOKUP($I89,Veg_Parameters!$A$3:$N$65,11,FALSE))))</f>
        <v>0</v>
      </c>
      <c r="Y89" s="524">
        <f>IF(ISBLANK(A89),0,IF(ISNA(VLOOKUP($I89,Veg_Parameters!$A$3:$N$65,12,FALSE)),0,(VLOOKUP($I89,Veg_Parameters!$A$3:$N$65,12,FALSE))))</f>
        <v>0</v>
      </c>
      <c r="Z89" s="525">
        <f t="shared" si="150"/>
        <v>0</v>
      </c>
      <c r="AA89" s="525">
        <f t="shared" si="109"/>
        <v>0</v>
      </c>
      <c r="AB89" s="525">
        <f t="shared" si="110"/>
        <v>0</v>
      </c>
      <c r="AC89" s="524">
        <f>IF(ISBLANK(N89),0,IF(ISNA(VLOOKUP($N89,Veg_Parameters!$A$3:$N$65,10,FALSE)),0,(VLOOKUP($N89,Veg_Parameters!$A$3:$N$65,10,FALSE))))</f>
        <v>0</v>
      </c>
      <c r="AD89" s="524">
        <f>IF(ISBLANK(N89),0,IF(ISNA(VLOOKUP($N89,Veg_Parameters!$A$3:$N$65,11,FALSE)),0,(VLOOKUP($N89,Veg_Parameters!$A$3:$N$65,11,FALSE))))</f>
        <v>0</v>
      </c>
      <c r="AE89" s="524">
        <f>IF(ISBLANK(N89), 0, IF(ISNA(VLOOKUP($N89,Veg_Parameters!$A$3:$N$65,12,FALSE)),0,(VLOOKUP($N89,Veg_Parameters!$A$3:$N$65,12,FALSE))))</f>
        <v>0</v>
      </c>
      <c r="AF89" s="523">
        <f t="shared" si="111"/>
        <v>0</v>
      </c>
      <c r="AG89" s="523">
        <f t="shared" si="112"/>
        <v>0</v>
      </c>
      <c r="AH89" s="523">
        <f t="shared" si="113"/>
        <v>0</v>
      </c>
      <c r="AI89" s="526"/>
      <c r="AJ89" s="527">
        <f>AB89*(IF(ISNA(VLOOKUP($I89,Veg_Parameters!$A$3:$N$65,5,FALSE)),0,(VLOOKUP($I89,Veg_Parameters!$A$3:$N$65,5,FALSE))))</f>
        <v>0</v>
      </c>
      <c r="AK89" s="527">
        <f>IF(ISNA(VLOOKUP($I89,Veg_Parameters!$A$3:$N$65,4,FALSE)),0,(VLOOKUP($I89,Veg_Parameters!$A$3:$N$65,4,FALSE)))</f>
        <v>0</v>
      </c>
      <c r="AL89" s="527">
        <f>AB89*(IF(ISNA(VLOOKUP($I89,Veg_Parameters!$A$3:$N$65,7,FALSE)),0, (VLOOKUP($I89,Veg_Parameters!$A$3:$N$65,7,FALSE))))</f>
        <v>0</v>
      </c>
      <c r="AM89" s="528">
        <f>IF(ISNA(VLOOKUP($I89,Veg_Parameters!$A$3:$N$65,6,FALSE)), 0, (VLOOKUP($I89,Veg_Parameters!$A$3:$N$65,6,FALSE)))</f>
        <v>0</v>
      </c>
      <c r="AN89" s="529">
        <f t="shared" si="114"/>
        <v>20</v>
      </c>
      <c r="AO89" s="529">
        <f t="shared" si="115"/>
        <v>0</v>
      </c>
      <c r="AP89" s="529">
        <f t="shared" si="116"/>
        <v>0</v>
      </c>
      <c r="AQ89" s="530">
        <f t="shared" si="132"/>
        <v>0</v>
      </c>
      <c r="AR89" s="527" t="s">
        <v>3</v>
      </c>
      <c r="AS89" s="527">
        <f>IF(ISNA(VLOOKUP($I89,Veg_Parameters!$A$3:$N$65,8,FALSE)), 0, (VLOOKUP($I89,Veg_Parameters!$A$3:$N$65,8,FALSE)))</f>
        <v>0</v>
      </c>
      <c r="AT89" s="527">
        <f>AB89*(IF(ISNA(VLOOKUP($I89,Veg_Parameters!$A$3:$N$65,9,FALSE)), 0, (VLOOKUP($I89,Veg_Parameters!$A$3:$N$65,9,FALSE))))</f>
        <v>0</v>
      </c>
      <c r="AU89" s="527">
        <f>IF(ISBLANK(A89),0,VLOOKUP($I89,Veg_Parameters!$A$4:$U$65,21,))</f>
        <v>0</v>
      </c>
      <c r="AV89" s="527">
        <f t="shared" si="133"/>
        <v>0</v>
      </c>
      <c r="AW89" s="529">
        <f t="shared" si="134"/>
        <v>0</v>
      </c>
      <c r="AX89" s="529">
        <f t="shared" si="135"/>
        <v>0</v>
      </c>
      <c r="AY89" s="529">
        <f t="shared" si="117"/>
        <v>0</v>
      </c>
      <c r="AZ89" s="529">
        <f t="shared" si="136"/>
        <v>0</v>
      </c>
      <c r="BA89" s="529">
        <f t="shared" si="137"/>
        <v>0</v>
      </c>
      <c r="BB89" s="529">
        <f t="shared" si="138"/>
        <v>0</v>
      </c>
      <c r="BC89" s="529">
        <f t="shared" si="118"/>
        <v>0</v>
      </c>
      <c r="BD89" s="531"/>
      <c r="BE89" s="527">
        <f>AH89*(IF(ISNA(VLOOKUP($N89,Veg_Parameters!$A$3:$N$65,5,FALSE)),0,(VLOOKUP($N89,Veg_Parameters!$A$3:$N$65,5,FALSE))))</f>
        <v>0</v>
      </c>
      <c r="BF89" s="527">
        <f>IF(ISNA(VLOOKUP($N89,Veg_Parameters!$A$3:$N$65,4,FALSE)),0,(VLOOKUP($N89,Veg_Parameters!$A$3:$N$65,4,FALSE)))</f>
        <v>0</v>
      </c>
      <c r="BG89" s="527">
        <f>AH89*(IF(ISNA(VLOOKUP($N89,Veg_Parameters!$A$3:$N$65,7,FALSE)),0, (VLOOKUP($N89,Veg_Parameters!$A$3:$N$65,7,FALSE))))</f>
        <v>0</v>
      </c>
      <c r="BH89" s="527">
        <f>IF(ISNA(VLOOKUP($N89,Veg_Parameters!$A$3:$N$65,6,FALSE)), 0, (VLOOKUP($N89,Veg_Parameters!$A$3:$N$65,6,FALSE)))</f>
        <v>0</v>
      </c>
      <c r="BI89" s="529">
        <f t="shared" si="119"/>
        <v>20</v>
      </c>
      <c r="BJ89" s="529">
        <f t="shared" si="139"/>
        <v>0</v>
      </c>
      <c r="BK89" s="529">
        <f t="shared" si="120"/>
        <v>0</v>
      </c>
      <c r="BL89" s="530">
        <f t="shared" si="140"/>
        <v>0</v>
      </c>
      <c r="BM89" s="527" t="s">
        <v>3</v>
      </c>
      <c r="BN89" s="527">
        <f>IF(ISNA(VLOOKUP(N89,Veg_Parameters!$A$3:$N$65,8,FALSE)), 0, (VLOOKUP($N89,Veg_Parameters!$A$3:$N$65,8,FALSE)))</f>
        <v>0</v>
      </c>
      <c r="BO89" s="527">
        <f>AH89*(IF(ISNA(VLOOKUP($N89,Veg_Parameters!$A$3:$N$65,9,FALSE)), 0, (VLOOKUP($N89,Veg_Parameters!$A$3:$N$65,9,FALSE))))</f>
        <v>0</v>
      </c>
      <c r="BP89" s="527" t="str">
        <f>IF(ISBLANK(N89),"0",VLOOKUP($N89,Veg_Parameters!$A$4:$U$65,21,))</f>
        <v>0</v>
      </c>
      <c r="BQ89" s="529">
        <f t="shared" si="141"/>
        <v>0</v>
      </c>
      <c r="BR89" s="529">
        <f t="shared" si="142"/>
        <v>0</v>
      </c>
      <c r="BS89" s="529">
        <f t="shared" si="121"/>
        <v>0</v>
      </c>
      <c r="BT89" s="529">
        <f t="shared" si="143"/>
        <v>0</v>
      </c>
      <c r="BU89" s="529">
        <f t="shared" si="144"/>
        <v>0</v>
      </c>
      <c r="BV89" s="529">
        <f t="shared" si="145"/>
        <v>0</v>
      </c>
      <c r="BW89" s="532" t="str">
        <f t="shared" si="122"/>
        <v/>
      </c>
      <c r="BX89" s="532" t="str">
        <f t="shared" si="123"/>
        <v/>
      </c>
      <c r="BY89" s="532" t="str">
        <f t="shared" si="124"/>
        <v/>
      </c>
      <c r="BZ89" s="532" t="str">
        <f t="shared" si="125"/>
        <v/>
      </c>
      <c r="CA89" s="532">
        <f t="shared" si="126"/>
        <v>0</v>
      </c>
      <c r="CB89" s="533"/>
      <c r="CC89" s="624">
        <f t="shared" si="127"/>
        <v>0</v>
      </c>
      <c r="CD89" s="534">
        <f t="shared" si="128"/>
        <v>0</v>
      </c>
      <c r="CE89" s="534">
        <f t="shared" si="129"/>
        <v>0</v>
      </c>
      <c r="CF89" s="534">
        <f t="shared" si="130"/>
        <v>0</v>
      </c>
      <c r="CG89" s="534"/>
      <c r="CH89" s="534"/>
      <c r="CI89" s="534">
        <f t="shared" si="146"/>
        <v>0</v>
      </c>
      <c r="CL89" s="534">
        <f>IF(ISNA(VLOOKUP(I89,Veg_Parameters!$A$3:$N$65,13,FALSE)),0,(VLOOKUP(I89,Veg_Parameters!$A$3:$N$65,13,FALSE)))</f>
        <v>0</v>
      </c>
      <c r="CM89" s="534">
        <f t="shared" si="147"/>
        <v>0</v>
      </c>
      <c r="CN89" s="534">
        <f>IF(ISNA(VLOOKUP(N89,Veg_Parameters!$A$3:$N$65,13,FALSE)),0,(VLOOKUP(N89,Veg_Parameters!$A$3:$N$65,13,FALSE)))</f>
        <v>0</v>
      </c>
      <c r="CO89" s="523">
        <f t="shared" si="148"/>
        <v>0</v>
      </c>
    </row>
    <row r="90" spans="1:93" x14ac:dyDescent="0.2">
      <c r="A90" s="227"/>
      <c r="B90" s="171" t="str">
        <f t="shared" si="149"/>
        <v/>
      </c>
      <c r="C90" s="230"/>
      <c r="D90" s="169"/>
      <c r="E90" s="165"/>
      <c r="F90" s="165"/>
      <c r="G90" s="165"/>
      <c r="H90" s="165"/>
      <c r="I90" s="168"/>
      <c r="J90" s="167"/>
      <c r="K90" s="168"/>
      <c r="L90" s="167"/>
      <c r="M90" s="167"/>
      <c r="N90" s="168"/>
      <c r="O90" s="168"/>
      <c r="P90" s="167"/>
      <c r="Q90" s="167"/>
      <c r="R90" s="167"/>
      <c r="S90" s="222" t="str">
        <f>IF(ISBLANK(A90),"",IF(ISNA(VLOOKUP(I90,Veg_Parameters!$A$3:$N$65,3,FALSE)),0,(VLOOKUP(I90,Veg_Parameters!$A$3:$N$65,3,FALSE))))</f>
        <v/>
      </c>
      <c r="T90" s="222" t="str">
        <f>IF(ISBLANK(N90),"",IF(ISNA(VLOOKUP(N90,Veg_Parameters!$A$3:$N$65,3,FALSE)),0,(VLOOKUP(N90,Veg_Parameters!$A$3:$N$65,3,FALSE))))</f>
        <v/>
      </c>
      <c r="U90" s="523">
        <f t="shared" si="131"/>
        <v>0</v>
      </c>
      <c r="V90" s="523">
        <f t="shared" si="108"/>
        <v>0</v>
      </c>
      <c r="W90" s="524">
        <f>IF(ISBLANK(A90),0,IF(ISNA(VLOOKUP($I90,Veg_Parameters!$A$3:$N$65,10,FALSE)),0,(VLOOKUP($I90,Veg_Parameters!$A$3:$N$65,10,FALSE))))</f>
        <v>0</v>
      </c>
      <c r="X90" s="524">
        <f>IF(ISBLANK(A90),0,IF(ISNA(VLOOKUP($I90,Veg_Parameters!$A$3:$N$65,11,FALSE)),0,(VLOOKUP($I90,Veg_Parameters!$A$3:$N$65,11,FALSE))))</f>
        <v>0</v>
      </c>
      <c r="Y90" s="524">
        <f>IF(ISBLANK(A90),0,IF(ISNA(VLOOKUP($I90,Veg_Parameters!$A$3:$N$65,12,FALSE)),0,(VLOOKUP($I90,Veg_Parameters!$A$3:$N$65,12,FALSE))))</f>
        <v>0</v>
      </c>
      <c r="Z90" s="525">
        <f t="shared" si="150"/>
        <v>0</v>
      </c>
      <c r="AA90" s="525">
        <f t="shared" si="109"/>
        <v>0</v>
      </c>
      <c r="AB90" s="525">
        <f t="shared" si="110"/>
        <v>0</v>
      </c>
      <c r="AC90" s="524">
        <f>IF(ISBLANK(N90),0,IF(ISNA(VLOOKUP($N90,Veg_Parameters!$A$3:$N$65,10,FALSE)),0,(VLOOKUP($N90,Veg_Parameters!$A$3:$N$65,10,FALSE))))</f>
        <v>0</v>
      </c>
      <c r="AD90" s="524">
        <f>IF(ISBLANK(N90),0,IF(ISNA(VLOOKUP($N90,Veg_Parameters!$A$3:$N$65,11,FALSE)),0,(VLOOKUP($N90,Veg_Parameters!$A$3:$N$65,11,FALSE))))</f>
        <v>0</v>
      </c>
      <c r="AE90" s="524">
        <f>IF(ISBLANK(N90), 0, IF(ISNA(VLOOKUP($N90,Veg_Parameters!$A$3:$N$65,12,FALSE)),0,(VLOOKUP($N90,Veg_Parameters!$A$3:$N$65,12,FALSE))))</f>
        <v>0</v>
      </c>
      <c r="AF90" s="523">
        <f t="shared" si="111"/>
        <v>0</v>
      </c>
      <c r="AG90" s="523">
        <f t="shared" si="112"/>
        <v>0</v>
      </c>
      <c r="AH90" s="523">
        <f t="shared" si="113"/>
        <v>0</v>
      </c>
      <c r="AI90" s="526"/>
      <c r="AJ90" s="527">
        <f>AB90*(IF(ISNA(VLOOKUP($I90,Veg_Parameters!$A$3:$N$65,5,FALSE)),0,(VLOOKUP($I90,Veg_Parameters!$A$3:$N$65,5,FALSE))))</f>
        <v>0</v>
      </c>
      <c r="AK90" s="527">
        <f>IF(ISNA(VLOOKUP($I90,Veg_Parameters!$A$3:$N$65,4,FALSE)),0,(VLOOKUP($I90,Veg_Parameters!$A$3:$N$65,4,FALSE)))</f>
        <v>0</v>
      </c>
      <c r="AL90" s="527">
        <f>AB90*(IF(ISNA(VLOOKUP($I90,Veg_Parameters!$A$3:$N$65,7,FALSE)),0, (VLOOKUP($I90,Veg_Parameters!$A$3:$N$65,7,FALSE))))</f>
        <v>0</v>
      </c>
      <c r="AM90" s="528">
        <f>IF(ISNA(VLOOKUP($I90,Veg_Parameters!$A$3:$N$65,6,FALSE)), 0, (VLOOKUP($I90,Veg_Parameters!$A$3:$N$65,6,FALSE)))</f>
        <v>0</v>
      </c>
      <c r="AN90" s="529">
        <f t="shared" si="114"/>
        <v>20</v>
      </c>
      <c r="AO90" s="529">
        <f t="shared" si="115"/>
        <v>0</v>
      </c>
      <c r="AP90" s="529">
        <f t="shared" si="116"/>
        <v>0</v>
      </c>
      <c r="AQ90" s="530">
        <f t="shared" si="132"/>
        <v>0</v>
      </c>
      <c r="AR90" s="527" t="s">
        <v>3</v>
      </c>
      <c r="AS90" s="527">
        <f>IF(ISNA(VLOOKUP($I90,Veg_Parameters!$A$3:$N$65,8,FALSE)), 0, (VLOOKUP($I90,Veg_Parameters!$A$3:$N$65,8,FALSE)))</f>
        <v>0</v>
      </c>
      <c r="AT90" s="527">
        <f>AB90*(IF(ISNA(VLOOKUP($I90,Veg_Parameters!$A$3:$N$65,9,FALSE)), 0, (VLOOKUP($I90,Veg_Parameters!$A$3:$N$65,9,FALSE))))</f>
        <v>0</v>
      </c>
      <c r="AU90" s="527">
        <f>IF(ISBLANK(A90),0,VLOOKUP($I90,Veg_Parameters!$A$4:$U$65,21,))</f>
        <v>0</v>
      </c>
      <c r="AV90" s="527">
        <f t="shared" si="133"/>
        <v>0</v>
      </c>
      <c r="AW90" s="529">
        <f t="shared" si="134"/>
        <v>0</v>
      </c>
      <c r="AX90" s="529">
        <f t="shared" si="135"/>
        <v>0</v>
      </c>
      <c r="AY90" s="529">
        <f t="shared" si="117"/>
        <v>0</v>
      </c>
      <c r="AZ90" s="529">
        <f t="shared" si="136"/>
        <v>0</v>
      </c>
      <c r="BA90" s="529">
        <f t="shared" si="137"/>
        <v>0</v>
      </c>
      <c r="BB90" s="529">
        <f t="shared" si="138"/>
        <v>0</v>
      </c>
      <c r="BC90" s="529">
        <f t="shared" si="118"/>
        <v>0</v>
      </c>
      <c r="BD90" s="531"/>
      <c r="BE90" s="527">
        <f>AH90*(IF(ISNA(VLOOKUP($N90,Veg_Parameters!$A$3:$N$65,5,FALSE)),0,(VLOOKUP($N90,Veg_Parameters!$A$3:$N$65,5,FALSE))))</f>
        <v>0</v>
      </c>
      <c r="BF90" s="527">
        <f>IF(ISNA(VLOOKUP($N90,Veg_Parameters!$A$3:$N$65,4,FALSE)),0,(VLOOKUP($N90,Veg_Parameters!$A$3:$N$65,4,FALSE)))</f>
        <v>0</v>
      </c>
      <c r="BG90" s="527">
        <f>AH90*(IF(ISNA(VLOOKUP($N90,Veg_Parameters!$A$3:$N$65,7,FALSE)),0, (VLOOKUP($N90,Veg_Parameters!$A$3:$N$65,7,FALSE))))</f>
        <v>0</v>
      </c>
      <c r="BH90" s="527">
        <f>IF(ISNA(VLOOKUP($N90,Veg_Parameters!$A$3:$N$65,6,FALSE)), 0, (VLOOKUP($N90,Veg_Parameters!$A$3:$N$65,6,FALSE)))</f>
        <v>0</v>
      </c>
      <c r="BI90" s="529">
        <f t="shared" si="119"/>
        <v>20</v>
      </c>
      <c r="BJ90" s="529">
        <f t="shared" si="139"/>
        <v>0</v>
      </c>
      <c r="BK90" s="529">
        <f t="shared" si="120"/>
        <v>0</v>
      </c>
      <c r="BL90" s="530">
        <f t="shared" si="140"/>
        <v>0</v>
      </c>
      <c r="BM90" s="527" t="s">
        <v>3</v>
      </c>
      <c r="BN90" s="527">
        <f>IF(ISNA(VLOOKUP(N90,Veg_Parameters!$A$3:$N$65,8,FALSE)), 0, (VLOOKUP($N90,Veg_Parameters!$A$3:$N$65,8,FALSE)))</f>
        <v>0</v>
      </c>
      <c r="BO90" s="527">
        <f>AH90*(IF(ISNA(VLOOKUP($N90,Veg_Parameters!$A$3:$N$65,9,FALSE)), 0, (VLOOKUP($N90,Veg_Parameters!$A$3:$N$65,9,FALSE))))</f>
        <v>0</v>
      </c>
      <c r="BP90" s="527" t="str">
        <f>IF(ISBLANK(N90),"0",VLOOKUP($N90,Veg_Parameters!$A$4:$U$65,21,))</f>
        <v>0</v>
      </c>
      <c r="BQ90" s="529">
        <f t="shared" si="141"/>
        <v>0</v>
      </c>
      <c r="BR90" s="529">
        <f t="shared" si="142"/>
        <v>0</v>
      </c>
      <c r="BS90" s="529">
        <f t="shared" si="121"/>
        <v>0</v>
      </c>
      <c r="BT90" s="529">
        <f t="shared" si="143"/>
        <v>0</v>
      </c>
      <c r="BU90" s="529">
        <f t="shared" si="144"/>
        <v>0</v>
      </c>
      <c r="BV90" s="529">
        <f t="shared" si="145"/>
        <v>0</v>
      </c>
      <c r="BW90" s="532" t="str">
        <f t="shared" si="122"/>
        <v/>
      </c>
      <c r="BX90" s="532" t="str">
        <f t="shared" si="123"/>
        <v/>
      </c>
      <c r="BY90" s="532" t="str">
        <f t="shared" si="124"/>
        <v/>
      </c>
      <c r="BZ90" s="532" t="str">
        <f t="shared" si="125"/>
        <v/>
      </c>
      <c r="CA90" s="532">
        <f t="shared" si="126"/>
        <v>0</v>
      </c>
      <c r="CB90" s="533"/>
      <c r="CC90" s="624">
        <f t="shared" si="127"/>
        <v>0</v>
      </c>
      <c r="CD90" s="534">
        <f t="shared" si="128"/>
        <v>0</v>
      </c>
      <c r="CE90" s="534">
        <f t="shared" si="129"/>
        <v>0</v>
      </c>
      <c r="CF90" s="534">
        <f t="shared" si="130"/>
        <v>0</v>
      </c>
      <c r="CG90" s="534"/>
      <c r="CH90" s="534"/>
      <c r="CI90" s="534">
        <f t="shared" si="146"/>
        <v>0</v>
      </c>
      <c r="CL90" s="534">
        <f>IF(ISNA(VLOOKUP(I90,Veg_Parameters!$A$3:$N$65,13,FALSE)),0,(VLOOKUP(I90,Veg_Parameters!$A$3:$N$65,13,FALSE)))</f>
        <v>0</v>
      </c>
      <c r="CM90" s="534">
        <f t="shared" si="147"/>
        <v>0</v>
      </c>
      <c r="CN90" s="534">
        <f>IF(ISNA(VLOOKUP(N90,Veg_Parameters!$A$3:$N$65,13,FALSE)),0,(VLOOKUP(N90,Veg_Parameters!$A$3:$N$65,13,FALSE)))</f>
        <v>0</v>
      </c>
      <c r="CO90" s="523">
        <f t="shared" si="148"/>
        <v>0</v>
      </c>
    </row>
    <row r="91" spans="1:93" x14ac:dyDescent="0.2">
      <c r="A91" s="227"/>
      <c r="B91" s="171" t="str">
        <f t="shared" si="149"/>
        <v/>
      </c>
      <c r="C91" s="230"/>
      <c r="D91" s="169"/>
      <c r="E91" s="165"/>
      <c r="F91" s="165"/>
      <c r="G91" s="165"/>
      <c r="H91" s="165"/>
      <c r="I91" s="168"/>
      <c r="J91" s="167"/>
      <c r="K91" s="168"/>
      <c r="L91" s="167"/>
      <c r="M91" s="167"/>
      <c r="N91" s="168"/>
      <c r="O91" s="168"/>
      <c r="P91" s="167"/>
      <c r="Q91" s="167"/>
      <c r="R91" s="167"/>
      <c r="S91" s="222" t="str">
        <f>IF(ISBLANK(A91),"",IF(ISNA(VLOOKUP(I91,Veg_Parameters!$A$3:$N$65,3,FALSE)),0,(VLOOKUP(I91,Veg_Parameters!$A$3:$N$65,3,FALSE))))</f>
        <v/>
      </c>
      <c r="T91" s="222" t="str">
        <f>IF(ISBLANK(N91),"",IF(ISNA(VLOOKUP(N91,Veg_Parameters!$A$3:$N$65,3,FALSE)),0,(VLOOKUP(N91,Veg_Parameters!$A$3:$N$65,3,FALSE))))</f>
        <v/>
      </c>
      <c r="U91" s="523">
        <f t="shared" si="131"/>
        <v>0</v>
      </c>
      <c r="V91" s="523">
        <f t="shared" si="108"/>
        <v>0</v>
      </c>
      <c r="W91" s="524">
        <f>IF(ISBLANK(A91),0,IF(ISNA(VLOOKUP($I91,Veg_Parameters!$A$3:$N$65,10,FALSE)),0,(VLOOKUP($I91,Veg_Parameters!$A$3:$N$65,10,FALSE))))</f>
        <v>0</v>
      </c>
      <c r="X91" s="524">
        <f>IF(ISBLANK(A91),0,IF(ISNA(VLOOKUP($I91,Veg_Parameters!$A$3:$N$65,11,FALSE)),0,(VLOOKUP($I91,Veg_Parameters!$A$3:$N$65,11,FALSE))))</f>
        <v>0</v>
      </c>
      <c r="Y91" s="524">
        <f>IF(ISBLANK(A91),0,IF(ISNA(VLOOKUP($I91,Veg_Parameters!$A$3:$N$65,12,FALSE)),0,(VLOOKUP($I91,Veg_Parameters!$A$3:$N$65,12,FALSE))))</f>
        <v>0</v>
      </c>
      <c r="Z91" s="525">
        <f t="shared" si="150"/>
        <v>0</v>
      </c>
      <c r="AA91" s="525">
        <f t="shared" si="109"/>
        <v>0</v>
      </c>
      <c r="AB91" s="525">
        <f t="shared" si="110"/>
        <v>0</v>
      </c>
      <c r="AC91" s="524">
        <f>IF(ISBLANK(N91),0,IF(ISNA(VLOOKUP($N91,Veg_Parameters!$A$3:$N$65,10,FALSE)),0,(VLOOKUP($N91,Veg_Parameters!$A$3:$N$65,10,FALSE))))</f>
        <v>0</v>
      </c>
      <c r="AD91" s="524">
        <f>IF(ISBLANK(N91),0,IF(ISNA(VLOOKUP($N91,Veg_Parameters!$A$3:$N$65,11,FALSE)),0,(VLOOKUP($N91,Veg_Parameters!$A$3:$N$65,11,FALSE))))</f>
        <v>0</v>
      </c>
      <c r="AE91" s="524">
        <f>IF(ISBLANK(N91), 0, IF(ISNA(VLOOKUP($N91,Veg_Parameters!$A$3:$N$65,12,FALSE)),0,(VLOOKUP($N91,Veg_Parameters!$A$3:$N$65,12,FALSE))))</f>
        <v>0</v>
      </c>
      <c r="AF91" s="523">
        <f t="shared" si="111"/>
        <v>0</v>
      </c>
      <c r="AG91" s="523">
        <f t="shared" si="112"/>
        <v>0</v>
      </c>
      <c r="AH91" s="523">
        <f t="shared" si="113"/>
        <v>0</v>
      </c>
      <c r="AI91" s="526"/>
      <c r="AJ91" s="527">
        <f>AB91*(IF(ISNA(VLOOKUP($I91,Veg_Parameters!$A$3:$N$65,5,FALSE)),0,(VLOOKUP($I91,Veg_Parameters!$A$3:$N$65,5,FALSE))))</f>
        <v>0</v>
      </c>
      <c r="AK91" s="527">
        <f>IF(ISNA(VLOOKUP($I91,Veg_Parameters!$A$3:$N$65,4,FALSE)),0,(VLOOKUP($I91,Veg_Parameters!$A$3:$N$65,4,FALSE)))</f>
        <v>0</v>
      </c>
      <c r="AL91" s="527">
        <f>AB91*(IF(ISNA(VLOOKUP($I91,Veg_Parameters!$A$3:$N$65,7,FALSE)),0, (VLOOKUP($I91,Veg_Parameters!$A$3:$N$65,7,FALSE))))</f>
        <v>0</v>
      </c>
      <c r="AM91" s="528">
        <f>IF(ISNA(VLOOKUP($I91,Veg_Parameters!$A$3:$N$65,6,FALSE)), 0, (VLOOKUP($I91,Veg_Parameters!$A$3:$N$65,6,FALSE)))</f>
        <v>0</v>
      </c>
      <c r="AN91" s="529">
        <f t="shared" si="114"/>
        <v>20</v>
      </c>
      <c r="AO91" s="529">
        <f t="shared" si="115"/>
        <v>0</v>
      </c>
      <c r="AP91" s="529">
        <f t="shared" si="116"/>
        <v>0</v>
      </c>
      <c r="AQ91" s="530">
        <f t="shared" si="132"/>
        <v>0</v>
      </c>
      <c r="AR91" s="527" t="s">
        <v>3</v>
      </c>
      <c r="AS91" s="527">
        <f>IF(ISNA(VLOOKUP($I91,Veg_Parameters!$A$3:$N$65,8,FALSE)), 0, (VLOOKUP($I91,Veg_Parameters!$A$3:$N$65,8,FALSE)))</f>
        <v>0</v>
      </c>
      <c r="AT91" s="527">
        <f>AB91*(IF(ISNA(VLOOKUP($I91,Veg_Parameters!$A$3:$N$65,9,FALSE)), 0, (VLOOKUP($I91,Veg_Parameters!$A$3:$N$65,9,FALSE))))</f>
        <v>0</v>
      </c>
      <c r="AU91" s="527">
        <f>IF(ISBLANK(A91),0,VLOOKUP($I91,Veg_Parameters!$A$4:$U$65,21,))</f>
        <v>0</v>
      </c>
      <c r="AV91" s="527">
        <f t="shared" si="133"/>
        <v>0</v>
      </c>
      <c r="AW91" s="529">
        <f t="shared" si="134"/>
        <v>0</v>
      </c>
      <c r="AX91" s="529">
        <f t="shared" si="135"/>
        <v>0</v>
      </c>
      <c r="AY91" s="529">
        <f t="shared" si="117"/>
        <v>0</v>
      </c>
      <c r="AZ91" s="529">
        <f t="shared" si="136"/>
        <v>0</v>
      </c>
      <c r="BA91" s="529">
        <f t="shared" si="137"/>
        <v>0</v>
      </c>
      <c r="BB91" s="529">
        <f t="shared" si="138"/>
        <v>0</v>
      </c>
      <c r="BC91" s="529">
        <f t="shared" si="118"/>
        <v>0</v>
      </c>
      <c r="BD91" s="531"/>
      <c r="BE91" s="527">
        <f>AH91*(IF(ISNA(VLOOKUP($N91,Veg_Parameters!$A$3:$N$65,5,FALSE)),0,(VLOOKUP($N91,Veg_Parameters!$A$3:$N$65,5,FALSE))))</f>
        <v>0</v>
      </c>
      <c r="BF91" s="527">
        <f>IF(ISNA(VLOOKUP($N91,Veg_Parameters!$A$3:$N$65,4,FALSE)),0,(VLOOKUP($N91,Veg_Parameters!$A$3:$N$65,4,FALSE)))</f>
        <v>0</v>
      </c>
      <c r="BG91" s="527">
        <f>AH91*(IF(ISNA(VLOOKUP($N91,Veg_Parameters!$A$3:$N$65,7,FALSE)),0, (VLOOKUP($N91,Veg_Parameters!$A$3:$N$65,7,FALSE))))</f>
        <v>0</v>
      </c>
      <c r="BH91" s="527">
        <f>IF(ISNA(VLOOKUP($N91,Veg_Parameters!$A$3:$N$65,6,FALSE)), 0, (VLOOKUP($N91,Veg_Parameters!$A$3:$N$65,6,FALSE)))</f>
        <v>0</v>
      </c>
      <c r="BI91" s="529">
        <f t="shared" si="119"/>
        <v>20</v>
      </c>
      <c r="BJ91" s="529">
        <f t="shared" si="139"/>
        <v>0</v>
      </c>
      <c r="BK91" s="529">
        <f t="shared" si="120"/>
        <v>0</v>
      </c>
      <c r="BL91" s="530">
        <f t="shared" si="140"/>
        <v>0</v>
      </c>
      <c r="BM91" s="527" t="s">
        <v>3</v>
      </c>
      <c r="BN91" s="527">
        <f>IF(ISNA(VLOOKUP(N91,Veg_Parameters!$A$3:$N$65,8,FALSE)), 0, (VLOOKUP($N91,Veg_Parameters!$A$3:$N$65,8,FALSE)))</f>
        <v>0</v>
      </c>
      <c r="BO91" s="527">
        <f>AH91*(IF(ISNA(VLOOKUP($N91,Veg_Parameters!$A$3:$N$65,9,FALSE)), 0, (VLOOKUP($N91,Veg_Parameters!$A$3:$N$65,9,FALSE))))</f>
        <v>0</v>
      </c>
      <c r="BP91" s="527" t="str">
        <f>IF(ISBLANK(N91),"0",VLOOKUP($N91,Veg_Parameters!$A$4:$U$65,21,))</f>
        <v>0</v>
      </c>
      <c r="BQ91" s="529">
        <f t="shared" si="141"/>
        <v>0</v>
      </c>
      <c r="BR91" s="529">
        <f t="shared" si="142"/>
        <v>0</v>
      </c>
      <c r="BS91" s="529">
        <f t="shared" si="121"/>
        <v>0</v>
      </c>
      <c r="BT91" s="529">
        <f t="shared" si="143"/>
        <v>0</v>
      </c>
      <c r="BU91" s="529">
        <f t="shared" si="144"/>
        <v>0</v>
      </c>
      <c r="BV91" s="529">
        <f t="shared" si="145"/>
        <v>0</v>
      </c>
      <c r="BW91" s="532" t="str">
        <f t="shared" si="122"/>
        <v/>
      </c>
      <c r="BX91" s="532" t="str">
        <f t="shared" si="123"/>
        <v/>
      </c>
      <c r="BY91" s="532" t="str">
        <f t="shared" si="124"/>
        <v/>
      </c>
      <c r="BZ91" s="532" t="str">
        <f t="shared" si="125"/>
        <v/>
      </c>
      <c r="CA91" s="532">
        <f t="shared" si="126"/>
        <v>0</v>
      </c>
      <c r="CB91" s="533"/>
      <c r="CC91" s="624">
        <f t="shared" si="127"/>
        <v>0</v>
      </c>
      <c r="CD91" s="534">
        <f t="shared" si="128"/>
        <v>0</v>
      </c>
      <c r="CE91" s="534">
        <f t="shared" si="129"/>
        <v>0</v>
      </c>
      <c r="CF91" s="534">
        <f t="shared" si="130"/>
        <v>0</v>
      </c>
      <c r="CG91" s="534"/>
      <c r="CH91" s="534"/>
      <c r="CI91" s="534">
        <f t="shared" si="146"/>
        <v>0</v>
      </c>
      <c r="CL91" s="534">
        <f>IF(ISNA(VLOOKUP(I91,Veg_Parameters!$A$3:$N$65,13,FALSE)),0,(VLOOKUP(I91,Veg_Parameters!$A$3:$N$65,13,FALSE)))</f>
        <v>0</v>
      </c>
      <c r="CM91" s="534">
        <f t="shared" si="147"/>
        <v>0</v>
      </c>
      <c r="CN91" s="534">
        <f>IF(ISNA(VLOOKUP(N91,Veg_Parameters!$A$3:$N$65,13,FALSE)),0,(VLOOKUP(N91,Veg_Parameters!$A$3:$N$65,13,FALSE)))</f>
        <v>0</v>
      </c>
      <c r="CO91" s="523">
        <f t="shared" si="148"/>
        <v>0</v>
      </c>
    </row>
    <row r="92" spans="1:93" x14ac:dyDescent="0.2">
      <c r="A92" s="227"/>
      <c r="B92" s="171" t="str">
        <f t="shared" si="149"/>
        <v/>
      </c>
      <c r="C92" s="230"/>
      <c r="D92" s="169"/>
      <c r="E92" s="165"/>
      <c r="F92" s="165"/>
      <c r="G92" s="165"/>
      <c r="H92" s="165"/>
      <c r="I92" s="168"/>
      <c r="J92" s="167"/>
      <c r="K92" s="168"/>
      <c r="L92" s="167"/>
      <c r="M92" s="167"/>
      <c r="N92" s="168"/>
      <c r="O92" s="168"/>
      <c r="P92" s="167"/>
      <c r="Q92" s="167"/>
      <c r="R92" s="167"/>
      <c r="S92" s="222" t="str">
        <f>IF(ISBLANK(A92),"",IF(ISNA(VLOOKUP(I92,Veg_Parameters!$A$3:$N$65,3,FALSE)),0,(VLOOKUP(I92,Veg_Parameters!$A$3:$N$65,3,FALSE))))</f>
        <v/>
      </c>
      <c r="T92" s="222" t="str">
        <f>IF(ISBLANK(N92),"",IF(ISNA(VLOOKUP(N92,Veg_Parameters!$A$3:$N$65,3,FALSE)),0,(VLOOKUP(N92,Veg_Parameters!$A$3:$N$65,3,FALSE))))</f>
        <v/>
      </c>
      <c r="U92" s="523">
        <f t="shared" si="131"/>
        <v>0</v>
      </c>
      <c r="V92" s="523">
        <f t="shared" si="108"/>
        <v>0</v>
      </c>
      <c r="W92" s="524">
        <f>IF(ISBLANK(A92),0,IF(ISNA(VLOOKUP($I92,Veg_Parameters!$A$3:$N$65,10,FALSE)),0,(VLOOKUP($I92,Veg_Parameters!$A$3:$N$65,10,FALSE))))</f>
        <v>0</v>
      </c>
      <c r="X92" s="524">
        <f>IF(ISBLANK(A92),0,IF(ISNA(VLOOKUP($I92,Veg_Parameters!$A$3:$N$65,11,FALSE)),0,(VLOOKUP($I92,Veg_Parameters!$A$3:$N$65,11,FALSE))))</f>
        <v>0</v>
      </c>
      <c r="Y92" s="524">
        <f>IF(ISBLANK(A92),0,IF(ISNA(VLOOKUP($I92,Veg_Parameters!$A$3:$N$65,12,FALSE)),0,(VLOOKUP($I92,Veg_Parameters!$A$3:$N$65,12,FALSE))))</f>
        <v>0</v>
      </c>
      <c r="Z92" s="525">
        <f t="shared" si="150"/>
        <v>0</v>
      </c>
      <c r="AA92" s="525">
        <f t="shared" si="109"/>
        <v>0</v>
      </c>
      <c r="AB92" s="525">
        <f t="shared" si="110"/>
        <v>0</v>
      </c>
      <c r="AC92" s="524">
        <f>IF(ISBLANK(N92),0,IF(ISNA(VLOOKUP($N92,Veg_Parameters!$A$3:$N$65,10,FALSE)),0,(VLOOKUP($N92,Veg_Parameters!$A$3:$N$65,10,FALSE))))</f>
        <v>0</v>
      </c>
      <c r="AD92" s="524">
        <f>IF(ISBLANK(N92),0,IF(ISNA(VLOOKUP($N92,Veg_Parameters!$A$3:$N$65,11,FALSE)),0,(VLOOKUP($N92,Veg_Parameters!$A$3:$N$65,11,FALSE))))</f>
        <v>0</v>
      </c>
      <c r="AE92" s="524">
        <f>IF(ISBLANK(N92), 0, IF(ISNA(VLOOKUP($N92,Veg_Parameters!$A$3:$N$65,12,FALSE)),0,(VLOOKUP($N92,Veg_Parameters!$A$3:$N$65,12,FALSE))))</f>
        <v>0</v>
      </c>
      <c r="AF92" s="523">
        <f t="shared" si="111"/>
        <v>0</v>
      </c>
      <c r="AG92" s="523">
        <f t="shared" si="112"/>
        <v>0</v>
      </c>
      <c r="AH92" s="523">
        <f t="shared" si="113"/>
        <v>0</v>
      </c>
      <c r="AI92" s="526"/>
      <c r="AJ92" s="527">
        <f>AB92*(IF(ISNA(VLOOKUP($I92,Veg_Parameters!$A$3:$N$65,5,FALSE)),0,(VLOOKUP($I92,Veg_Parameters!$A$3:$N$65,5,FALSE))))</f>
        <v>0</v>
      </c>
      <c r="AK92" s="527">
        <f>IF(ISNA(VLOOKUP($I92,Veg_Parameters!$A$3:$N$65,4,FALSE)),0,(VLOOKUP($I92,Veg_Parameters!$A$3:$N$65,4,FALSE)))</f>
        <v>0</v>
      </c>
      <c r="AL92" s="527">
        <f>AB92*(IF(ISNA(VLOOKUP($I92,Veg_Parameters!$A$3:$N$65,7,FALSE)),0, (VLOOKUP($I92,Veg_Parameters!$A$3:$N$65,7,FALSE))))</f>
        <v>0</v>
      </c>
      <c r="AM92" s="528">
        <f>IF(ISNA(VLOOKUP($I92,Veg_Parameters!$A$3:$N$65,6,FALSE)), 0, (VLOOKUP($I92,Veg_Parameters!$A$3:$N$65,6,FALSE)))</f>
        <v>0</v>
      </c>
      <c r="AN92" s="529">
        <f t="shared" si="114"/>
        <v>20</v>
      </c>
      <c r="AO92" s="529">
        <f t="shared" si="115"/>
        <v>0</v>
      </c>
      <c r="AP92" s="529">
        <f t="shared" si="116"/>
        <v>0</v>
      </c>
      <c r="AQ92" s="530">
        <f t="shared" si="132"/>
        <v>0</v>
      </c>
      <c r="AR92" s="527" t="s">
        <v>3</v>
      </c>
      <c r="AS92" s="527">
        <f>IF(ISNA(VLOOKUP($I92,Veg_Parameters!$A$3:$N$65,8,FALSE)), 0, (VLOOKUP($I92,Veg_Parameters!$A$3:$N$65,8,FALSE)))</f>
        <v>0</v>
      </c>
      <c r="AT92" s="527">
        <f>AB92*(IF(ISNA(VLOOKUP($I92,Veg_Parameters!$A$3:$N$65,9,FALSE)), 0, (VLOOKUP($I92,Veg_Parameters!$A$3:$N$65,9,FALSE))))</f>
        <v>0</v>
      </c>
      <c r="AU92" s="527">
        <f>IF(ISBLANK(A92),0,VLOOKUP($I92,Veg_Parameters!$A$4:$U$65,21,))</f>
        <v>0</v>
      </c>
      <c r="AV92" s="527">
        <f t="shared" si="133"/>
        <v>0</v>
      </c>
      <c r="AW92" s="529">
        <f t="shared" si="134"/>
        <v>0</v>
      </c>
      <c r="AX92" s="529">
        <f t="shared" si="135"/>
        <v>0</v>
      </c>
      <c r="AY92" s="529">
        <f t="shared" si="117"/>
        <v>0</v>
      </c>
      <c r="AZ92" s="529">
        <f t="shared" si="136"/>
        <v>0</v>
      </c>
      <c r="BA92" s="529">
        <f t="shared" si="137"/>
        <v>0</v>
      </c>
      <c r="BB92" s="529">
        <f t="shared" si="138"/>
        <v>0</v>
      </c>
      <c r="BC92" s="529">
        <f t="shared" si="118"/>
        <v>0</v>
      </c>
      <c r="BD92" s="531"/>
      <c r="BE92" s="527">
        <f>AH92*(IF(ISNA(VLOOKUP($N92,Veg_Parameters!$A$3:$N$65,5,FALSE)),0,(VLOOKUP($N92,Veg_Parameters!$A$3:$N$65,5,FALSE))))</f>
        <v>0</v>
      </c>
      <c r="BF92" s="527">
        <f>IF(ISNA(VLOOKUP($N92,Veg_Parameters!$A$3:$N$65,4,FALSE)),0,(VLOOKUP($N92,Veg_Parameters!$A$3:$N$65,4,FALSE)))</f>
        <v>0</v>
      </c>
      <c r="BG92" s="527">
        <f>AH92*(IF(ISNA(VLOOKUP($N92,Veg_Parameters!$A$3:$N$65,7,FALSE)),0, (VLOOKUP($N92,Veg_Parameters!$A$3:$N$65,7,FALSE))))</f>
        <v>0</v>
      </c>
      <c r="BH92" s="527">
        <f>IF(ISNA(VLOOKUP($N92,Veg_Parameters!$A$3:$N$65,6,FALSE)), 0, (VLOOKUP($N92,Veg_Parameters!$A$3:$N$65,6,FALSE)))</f>
        <v>0</v>
      </c>
      <c r="BI92" s="529">
        <f t="shared" si="119"/>
        <v>20</v>
      </c>
      <c r="BJ92" s="529">
        <f t="shared" si="139"/>
        <v>0</v>
      </c>
      <c r="BK92" s="529">
        <f t="shared" si="120"/>
        <v>0</v>
      </c>
      <c r="BL92" s="530">
        <f t="shared" si="140"/>
        <v>0</v>
      </c>
      <c r="BM92" s="527" t="s">
        <v>3</v>
      </c>
      <c r="BN92" s="527">
        <f>IF(ISNA(VLOOKUP(N92,Veg_Parameters!$A$3:$N$65,8,FALSE)), 0, (VLOOKUP($N92,Veg_Parameters!$A$3:$N$65,8,FALSE)))</f>
        <v>0</v>
      </c>
      <c r="BO92" s="527">
        <f>AH92*(IF(ISNA(VLOOKUP($N92,Veg_Parameters!$A$3:$N$65,9,FALSE)), 0, (VLOOKUP($N92,Veg_Parameters!$A$3:$N$65,9,FALSE))))</f>
        <v>0</v>
      </c>
      <c r="BP92" s="527" t="str">
        <f>IF(ISBLANK(N92),"0",VLOOKUP($N92,Veg_Parameters!$A$4:$U$65,21,))</f>
        <v>0</v>
      </c>
      <c r="BQ92" s="529">
        <f t="shared" si="141"/>
        <v>0</v>
      </c>
      <c r="BR92" s="529">
        <f t="shared" si="142"/>
        <v>0</v>
      </c>
      <c r="BS92" s="529">
        <f t="shared" si="121"/>
        <v>0</v>
      </c>
      <c r="BT92" s="529">
        <f t="shared" si="143"/>
        <v>0</v>
      </c>
      <c r="BU92" s="529">
        <f t="shared" si="144"/>
        <v>0</v>
      </c>
      <c r="BV92" s="529">
        <f t="shared" si="145"/>
        <v>0</v>
      </c>
      <c r="BW92" s="532" t="str">
        <f t="shared" si="122"/>
        <v/>
      </c>
      <c r="BX92" s="532" t="str">
        <f t="shared" si="123"/>
        <v/>
      </c>
      <c r="BY92" s="532" t="str">
        <f t="shared" si="124"/>
        <v/>
      </c>
      <c r="BZ92" s="532" t="str">
        <f t="shared" si="125"/>
        <v/>
      </c>
      <c r="CA92" s="532">
        <f t="shared" si="126"/>
        <v>0</v>
      </c>
      <c r="CB92" s="533"/>
      <c r="CC92" s="624">
        <f t="shared" si="127"/>
        <v>0</v>
      </c>
      <c r="CD92" s="534">
        <f t="shared" si="128"/>
        <v>0</v>
      </c>
      <c r="CE92" s="534">
        <f t="shared" si="129"/>
        <v>0</v>
      </c>
      <c r="CF92" s="534">
        <f t="shared" si="130"/>
        <v>0</v>
      </c>
      <c r="CG92" s="534"/>
      <c r="CH92" s="534"/>
      <c r="CI92" s="534">
        <f t="shared" si="146"/>
        <v>0</v>
      </c>
      <c r="CL92" s="534">
        <f>IF(ISNA(VLOOKUP(I92,Veg_Parameters!$A$3:$N$65,13,FALSE)),0,(VLOOKUP(I92,Veg_Parameters!$A$3:$N$65,13,FALSE)))</f>
        <v>0</v>
      </c>
      <c r="CM92" s="534">
        <f t="shared" si="147"/>
        <v>0</v>
      </c>
      <c r="CN92" s="534">
        <f>IF(ISNA(VLOOKUP(N92,Veg_Parameters!$A$3:$N$65,13,FALSE)),0,(VLOOKUP(N92,Veg_Parameters!$A$3:$N$65,13,FALSE)))</f>
        <v>0</v>
      </c>
      <c r="CO92" s="523">
        <f t="shared" si="148"/>
        <v>0</v>
      </c>
    </row>
    <row r="93" spans="1:93" x14ac:dyDescent="0.2">
      <c r="A93" s="227"/>
      <c r="B93" s="171" t="str">
        <f t="shared" si="149"/>
        <v/>
      </c>
      <c r="C93" s="230"/>
      <c r="D93" s="169"/>
      <c r="E93" s="165"/>
      <c r="F93" s="165"/>
      <c r="G93" s="165"/>
      <c r="H93" s="165"/>
      <c r="I93" s="168"/>
      <c r="J93" s="167"/>
      <c r="K93" s="168"/>
      <c r="L93" s="167"/>
      <c r="M93" s="167"/>
      <c r="N93" s="168"/>
      <c r="O93" s="168"/>
      <c r="P93" s="167"/>
      <c r="Q93" s="167"/>
      <c r="R93" s="167"/>
      <c r="S93" s="222" t="str">
        <f>IF(ISBLANK(A93),"",IF(ISNA(VLOOKUP(I93,Veg_Parameters!$A$3:$N$65,3,FALSE)),0,(VLOOKUP(I93,Veg_Parameters!$A$3:$N$65,3,FALSE))))</f>
        <v/>
      </c>
      <c r="T93" s="222" t="str">
        <f>IF(ISBLANK(N93),"",IF(ISNA(VLOOKUP(N93,Veg_Parameters!$A$3:$N$65,3,FALSE)),0,(VLOOKUP(N93,Veg_Parameters!$A$3:$N$65,3,FALSE))))</f>
        <v/>
      </c>
      <c r="U93" s="523">
        <f t="shared" si="131"/>
        <v>0</v>
      </c>
      <c r="V93" s="523">
        <f t="shared" si="108"/>
        <v>0</v>
      </c>
      <c r="W93" s="524">
        <f>IF(ISBLANK(A93),0,IF(ISNA(VLOOKUP($I93,Veg_Parameters!$A$3:$N$65,10,FALSE)),0,(VLOOKUP($I93,Veg_Parameters!$A$3:$N$65,10,FALSE))))</f>
        <v>0</v>
      </c>
      <c r="X93" s="524">
        <f>IF(ISBLANK(A93),0,IF(ISNA(VLOOKUP($I93,Veg_Parameters!$A$3:$N$65,11,FALSE)),0,(VLOOKUP($I93,Veg_Parameters!$A$3:$N$65,11,FALSE))))</f>
        <v>0</v>
      </c>
      <c r="Y93" s="524">
        <f>IF(ISBLANK(A93),0,IF(ISNA(VLOOKUP($I93,Veg_Parameters!$A$3:$N$65,12,FALSE)),0,(VLOOKUP($I93,Veg_Parameters!$A$3:$N$65,12,FALSE))))</f>
        <v>0</v>
      </c>
      <c r="Z93" s="525">
        <f t="shared" si="150"/>
        <v>0</v>
      </c>
      <c r="AA93" s="525">
        <f t="shared" si="109"/>
        <v>0</v>
      </c>
      <c r="AB93" s="525">
        <f t="shared" si="110"/>
        <v>0</v>
      </c>
      <c r="AC93" s="524">
        <f>IF(ISBLANK(N93),0,IF(ISNA(VLOOKUP($N93,Veg_Parameters!$A$3:$N$65,10,FALSE)),0,(VLOOKUP($N93,Veg_Parameters!$A$3:$N$65,10,FALSE))))</f>
        <v>0</v>
      </c>
      <c r="AD93" s="524">
        <f>IF(ISBLANK(N93),0,IF(ISNA(VLOOKUP($N93,Veg_Parameters!$A$3:$N$65,11,FALSE)),0,(VLOOKUP($N93,Veg_Parameters!$A$3:$N$65,11,FALSE))))</f>
        <v>0</v>
      </c>
      <c r="AE93" s="524">
        <f>IF(ISBLANK(N93), 0, IF(ISNA(VLOOKUP($N93,Veg_Parameters!$A$3:$N$65,12,FALSE)),0,(VLOOKUP($N93,Veg_Parameters!$A$3:$N$65,12,FALSE))))</f>
        <v>0</v>
      </c>
      <c r="AF93" s="523">
        <f t="shared" si="111"/>
        <v>0</v>
      </c>
      <c r="AG93" s="523">
        <f t="shared" si="112"/>
        <v>0</v>
      </c>
      <c r="AH93" s="523">
        <f t="shared" si="113"/>
        <v>0</v>
      </c>
      <c r="AI93" s="526"/>
      <c r="AJ93" s="527">
        <f>AB93*(IF(ISNA(VLOOKUP($I93,Veg_Parameters!$A$3:$N$65,5,FALSE)),0,(VLOOKUP($I93,Veg_Parameters!$A$3:$N$65,5,FALSE))))</f>
        <v>0</v>
      </c>
      <c r="AK93" s="527">
        <f>IF(ISNA(VLOOKUP($I93,Veg_Parameters!$A$3:$N$65,4,FALSE)),0,(VLOOKUP($I93,Veg_Parameters!$A$3:$N$65,4,FALSE)))</f>
        <v>0</v>
      </c>
      <c r="AL93" s="527">
        <f>AB93*(IF(ISNA(VLOOKUP($I93,Veg_Parameters!$A$3:$N$65,7,FALSE)),0, (VLOOKUP($I93,Veg_Parameters!$A$3:$N$65,7,FALSE))))</f>
        <v>0</v>
      </c>
      <c r="AM93" s="528">
        <f>IF(ISNA(VLOOKUP($I93,Veg_Parameters!$A$3:$N$65,6,FALSE)), 0, (VLOOKUP($I93,Veg_Parameters!$A$3:$N$65,6,FALSE)))</f>
        <v>0</v>
      </c>
      <c r="AN93" s="529">
        <f t="shared" si="114"/>
        <v>20</v>
      </c>
      <c r="AO93" s="529">
        <f t="shared" si="115"/>
        <v>0</v>
      </c>
      <c r="AP93" s="529">
        <f t="shared" si="116"/>
        <v>0</v>
      </c>
      <c r="AQ93" s="530">
        <f t="shared" si="132"/>
        <v>0</v>
      </c>
      <c r="AR93" s="527" t="s">
        <v>3</v>
      </c>
      <c r="AS93" s="527">
        <f>IF(ISNA(VLOOKUP($I93,Veg_Parameters!$A$3:$N$65,8,FALSE)), 0, (VLOOKUP($I93,Veg_Parameters!$A$3:$N$65,8,FALSE)))</f>
        <v>0</v>
      </c>
      <c r="AT93" s="527">
        <f>AB93*(IF(ISNA(VLOOKUP($I93,Veg_Parameters!$A$3:$N$65,9,FALSE)), 0, (VLOOKUP($I93,Veg_Parameters!$A$3:$N$65,9,FALSE))))</f>
        <v>0</v>
      </c>
      <c r="AU93" s="527">
        <f>IF(ISBLANK(A93),0,VLOOKUP($I93,Veg_Parameters!$A$4:$U$65,21,))</f>
        <v>0</v>
      </c>
      <c r="AV93" s="527">
        <f t="shared" si="133"/>
        <v>0</v>
      </c>
      <c r="AW93" s="529">
        <f t="shared" si="134"/>
        <v>0</v>
      </c>
      <c r="AX93" s="529">
        <f t="shared" si="135"/>
        <v>0</v>
      </c>
      <c r="AY93" s="529">
        <f t="shared" si="117"/>
        <v>0</v>
      </c>
      <c r="AZ93" s="529">
        <f t="shared" si="136"/>
        <v>0</v>
      </c>
      <c r="BA93" s="529">
        <f t="shared" si="137"/>
        <v>0</v>
      </c>
      <c r="BB93" s="529">
        <f t="shared" si="138"/>
        <v>0</v>
      </c>
      <c r="BC93" s="529">
        <f t="shared" si="118"/>
        <v>0</v>
      </c>
      <c r="BD93" s="531"/>
      <c r="BE93" s="527">
        <f>AH93*(IF(ISNA(VLOOKUP($N93,Veg_Parameters!$A$3:$N$65,5,FALSE)),0,(VLOOKUP($N93,Veg_Parameters!$A$3:$N$65,5,FALSE))))</f>
        <v>0</v>
      </c>
      <c r="BF93" s="527">
        <f>IF(ISNA(VLOOKUP($N93,Veg_Parameters!$A$3:$N$65,4,FALSE)),0,(VLOOKUP($N93,Veg_Parameters!$A$3:$N$65,4,FALSE)))</f>
        <v>0</v>
      </c>
      <c r="BG93" s="527">
        <f>AH93*(IF(ISNA(VLOOKUP($N93,Veg_Parameters!$A$3:$N$65,7,FALSE)),0, (VLOOKUP($N93,Veg_Parameters!$A$3:$N$65,7,FALSE))))</f>
        <v>0</v>
      </c>
      <c r="BH93" s="527">
        <f>IF(ISNA(VLOOKUP($N93,Veg_Parameters!$A$3:$N$65,6,FALSE)), 0, (VLOOKUP($N93,Veg_Parameters!$A$3:$N$65,6,FALSE)))</f>
        <v>0</v>
      </c>
      <c r="BI93" s="529">
        <f t="shared" si="119"/>
        <v>20</v>
      </c>
      <c r="BJ93" s="529">
        <f t="shared" si="139"/>
        <v>0</v>
      </c>
      <c r="BK93" s="529">
        <f t="shared" si="120"/>
        <v>0</v>
      </c>
      <c r="BL93" s="530">
        <f t="shared" si="140"/>
        <v>0</v>
      </c>
      <c r="BM93" s="527" t="s">
        <v>3</v>
      </c>
      <c r="BN93" s="527">
        <f>IF(ISNA(VLOOKUP(N93,Veg_Parameters!$A$3:$N$65,8,FALSE)), 0, (VLOOKUP($N93,Veg_Parameters!$A$3:$N$65,8,FALSE)))</f>
        <v>0</v>
      </c>
      <c r="BO93" s="527">
        <f>AH93*(IF(ISNA(VLOOKUP($N93,Veg_Parameters!$A$3:$N$65,9,FALSE)), 0, (VLOOKUP($N93,Veg_Parameters!$A$3:$N$65,9,FALSE))))</f>
        <v>0</v>
      </c>
      <c r="BP93" s="527" t="str">
        <f>IF(ISBLANK(N93),"0",VLOOKUP($N93,Veg_Parameters!$A$4:$U$65,21,))</f>
        <v>0</v>
      </c>
      <c r="BQ93" s="529">
        <f t="shared" si="141"/>
        <v>0</v>
      </c>
      <c r="BR93" s="529">
        <f t="shared" si="142"/>
        <v>0</v>
      </c>
      <c r="BS93" s="529">
        <f t="shared" si="121"/>
        <v>0</v>
      </c>
      <c r="BT93" s="529">
        <f t="shared" si="143"/>
        <v>0</v>
      </c>
      <c r="BU93" s="529">
        <f t="shared" si="144"/>
        <v>0</v>
      </c>
      <c r="BV93" s="529">
        <f t="shared" si="145"/>
        <v>0</v>
      </c>
      <c r="BW93" s="532" t="str">
        <f t="shared" si="122"/>
        <v/>
      </c>
      <c r="BX93" s="532" t="str">
        <f t="shared" si="123"/>
        <v/>
      </c>
      <c r="BY93" s="532" t="str">
        <f t="shared" si="124"/>
        <v/>
      </c>
      <c r="BZ93" s="532" t="str">
        <f t="shared" si="125"/>
        <v/>
      </c>
      <c r="CA93" s="532">
        <f t="shared" si="126"/>
        <v>0</v>
      </c>
      <c r="CB93" s="533"/>
      <c r="CC93" s="624">
        <f t="shared" si="127"/>
        <v>0</v>
      </c>
      <c r="CD93" s="534">
        <f t="shared" si="128"/>
        <v>0</v>
      </c>
      <c r="CE93" s="534">
        <f t="shared" si="129"/>
        <v>0</v>
      </c>
      <c r="CF93" s="534">
        <f t="shared" si="130"/>
        <v>0</v>
      </c>
      <c r="CG93" s="534"/>
      <c r="CH93" s="534"/>
      <c r="CI93" s="534">
        <f t="shared" si="146"/>
        <v>0</v>
      </c>
      <c r="CL93" s="534">
        <f>IF(ISNA(VLOOKUP(I93,Veg_Parameters!$A$3:$N$65,13,FALSE)),0,(VLOOKUP(I93,Veg_Parameters!$A$3:$N$65,13,FALSE)))</f>
        <v>0</v>
      </c>
      <c r="CM93" s="534">
        <f t="shared" si="147"/>
        <v>0</v>
      </c>
      <c r="CN93" s="534">
        <f>IF(ISNA(VLOOKUP(N93,Veg_Parameters!$A$3:$N$65,13,FALSE)),0,(VLOOKUP(N93,Veg_Parameters!$A$3:$N$65,13,FALSE)))</f>
        <v>0</v>
      </c>
      <c r="CO93" s="523">
        <f t="shared" si="148"/>
        <v>0</v>
      </c>
    </row>
    <row r="94" spans="1:93" x14ac:dyDescent="0.2">
      <c r="A94" s="227"/>
      <c r="B94" s="171" t="str">
        <f t="shared" si="149"/>
        <v/>
      </c>
      <c r="C94" s="230"/>
      <c r="D94" s="169"/>
      <c r="E94" s="165"/>
      <c r="F94" s="165"/>
      <c r="G94" s="165"/>
      <c r="H94" s="165"/>
      <c r="I94" s="168"/>
      <c r="J94" s="167"/>
      <c r="K94" s="168"/>
      <c r="L94" s="167"/>
      <c r="M94" s="167"/>
      <c r="N94" s="168"/>
      <c r="O94" s="168"/>
      <c r="P94" s="167"/>
      <c r="Q94" s="167"/>
      <c r="R94" s="167"/>
      <c r="S94" s="222" t="str">
        <f>IF(ISBLANK(A94),"",IF(ISNA(VLOOKUP(I94,Veg_Parameters!$A$3:$N$65,3,FALSE)),0,(VLOOKUP(I94,Veg_Parameters!$A$3:$N$65,3,FALSE))))</f>
        <v/>
      </c>
      <c r="T94" s="222" t="str">
        <f>IF(ISBLANK(N94),"",IF(ISNA(VLOOKUP(N94,Veg_Parameters!$A$3:$N$65,3,FALSE)),0,(VLOOKUP(N94,Veg_Parameters!$A$3:$N$65,3,FALSE))))</f>
        <v/>
      </c>
      <c r="U94" s="523">
        <f t="shared" si="131"/>
        <v>0</v>
      </c>
      <c r="V94" s="523">
        <f t="shared" si="108"/>
        <v>0</v>
      </c>
      <c r="W94" s="524">
        <f>IF(ISBLANK(A94),0,IF(ISNA(VLOOKUP($I94,Veg_Parameters!$A$3:$N$65,10,FALSE)),0,(VLOOKUP($I94,Veg_Parameters!$A$3:$N$65,10,FALSE))))</f>
        <v>0</v>
      </c>
      <c r="X94" s="524">
        <f>IF(ISBLANK(A94),0,IF(ISNA(VLOOKUP($I94,Veg_Parameters!$A$3:$N$65,11,FALSE)),0,(VLOOKUP($I94,Veg_Parameters!$A$3:$N$65,11,FALSE))))</f>
        <v>0</v>
      </c>
      <c r="Y94" s="524">
        <f>IF(ISBLANK(A94),0,IF(ISNA(VLOOKUP($I94,Veg_Parameters!$A$3:$N$65,12,FALSE)),0,(VLOOKUP($I94,Veg_Parameters!$A$3:$N$65,12,FALSE))))</f>
        <v>0</v>
      </c>
      <c r="Z94" s="525">
        <f t="shared" si="150"/>
        <v>0</v>
      </c>
      <c r="AA94" s="525">
        <f t="shared" si="109"/>
        <v>0</v>
      </c>
      <c r="AB94" s="525">
        <f t="shared" si="110"/>
        <v>0</v>
      </c>
      <c r="AC94" s="524">
        <f>IF(ISBLANK(N94),0,IF(ISNA(VLOOKUP($N94,Veg_Parameters!$A$3:$N$65,10,FALSE)),0,(VLOOKUP($N94,Veg_Parameters!$A$3:$N$65,10,FALSE))))</f>
        <v>0</v>
      </c>
      <c r="AD94" s="524">
        <f>IF(ISBLANK(N94),0,IF(ISNA(VLOOKUP($N94,Veg_Parameters!$A$3:$N$65,11,FALSE)),0,(VLOOKUP($N94,Veg_Parameters!$A$3:$N$65,11,FALSE))))</f>
        <v>0</v>
      </c>
      <c r="AE94" s="524">
        <f>IF(ISBLANK(N94), 0, IF(ISNA(VLOOKUP($N94,Veg_Parameters!$A$3:$N$65,12,FALSE)),0,(VLOOKUP($N94,Veg_Parameters!$A$3:$N$65,12,FALSE))))</f>
        <v>0</v>
      </c>
      <c r="AF94" s="523">
        <f t="shared" si="111"/>
        <v>0</v>
      </c>
      <c r="AG94" s="523">
        <f t="shared" si="112"/>
        <v>0</v>
      </c>
      <c r="AH94" s="523">
        <f t="shared" si="113"/>
        <v>0</v>
      </c>
      <c r="AI94" s="526"/>
      <c r="AJ94" s="527">
        <f>AB94*(IF(ISNA(VLOOKUP($I94,Veg_Parameters!$A$3:$N$65,5,FALSE)),0,(VLOOKUP($I94,Veg_Parameters!$A$3:$N$65,5,FALSE))))</f>
        <v>0</v>
      </c>
      <c r="AK94" s="527">
        <f>IF(ISNA(VLOOKUP($I94,Veg_Parameters!$A$3:$N$65,4,FALSE)),0,(VLOOKUP($I94,Veg_Parameters!$A$3:$N$65,4,FALSE)))</f>
        <v>0</v>
      </c>
      <c r="AL94" s="527">
        <f>AB94*(IF(ISNA(VLOOKUP($I94,Veg_Parameters!$A$3:$N$65,7,FALSE)),0, (VLOOKUP($I94,Veg_Parameters!$A$3:$N$65,7,FALSE))))</f>
        <v>0</v>
      </c>
      <c r="AM94" s="528">
        <f>IF(ISNA(VLOOKUP($I94,Veg_Parameters!$A$3:$N$65,6,FALSE)), 0, (VLOOKUP($I94,Veg_Parameters!$A$3:$N$65,6,FALSE)))</f>
        <v>0</v>
      </c>
      <c r="AN94" s="529">
        <f t="shared" si="114"/>
        <v>20</v>
      </c>
      <c r="AO94" s="529">
        <f t="shared" si="115"/>
        <v>0</v>
      </c>
      <c r="AP94" s="529">
        <f t="shared" si="116"/>
        <v>0</v>
      </c>
      <c r="AQ94" s="530">
        <f t="shared" si="132"/>
        <v>0</v>
      </c>
      <c r="AR94" s="527" t="s">
        <v>3</v>
      </c>
      <c r="AS94" s="527">
        <f>IF(ISNA(VLOOKUP($I94,Veg_Parameters!$A$3:$N$65,8,FALSE)), 0, (VLOOKUP($I94,Veg_Parameters!$A$3:$N$65,8,FALSE)))</f>
        <v>0</v>
      </c>
      <c r="AT94" s="527">
        <f>AB94*(IF(ISNA(VLOOKUP($I94,Veg_Parameters!$A$3:$N$65,9,FALSE)), 0, (VLOOKUP($I94,Veg_Parameters!$A$3:$N$65,9,FALSE))))</f>
        <v>0</v>
      </c>
      <c r="AU94" s="527">
        <f>IF(ISBLANK(A94),0,VLOOKUP($I94,Veg_Parameters!$A$4:$U$65,21,))</f>
        <v>0</v>
      </c>
      <c r="AV94" s="527">
        <f t="shared" si="133"/>
        <v>0</v>
      </c>
      <c r="AW94" s="529">
        <f t="shared" si="134"/>
        <v>0</v>
      </c>
      <c r="AX94" s="529">
        <f t="shared" si="135"/>
        <v>0</v>
      </c>
      <c r="AY94" s="529">
        <f t="shared" si="117"/>
        <v>0</v>
      </c>
      <c r="AZ94" s="529">
        <f t="shared" si="136"/>
        <v>0</v>
      </c>
      <c r="BA94" s="529">
        <f t="shared" si="137"/>
        <v>0</v>
      </c>
      <c r="BB94" s="529">
        <f t="shared" si="138"/>
        <v>0</v>
      </c>
      <c r="BC94" s="529">
        <f t="shared" si="118"/>
        <v>0</v>
      </c>
      <c r="BD94" s="531"/>
      <c r="BE94" s="527">
        <f>AH94*(IF(ISNA(VLOOKUP($N94,Veg_Parameters!$A$3:$N$65,5,FALSE)),0,(VLOOKUP($N94,Veg_Parameters!$A$3:$N$65,5,FALSE))))</f>
        <v>0</v>
      </c>
      <c r="BF94" s="527">
        <f>IF(ISNA(VLOOKUP($N94,Veg_Parameters!$A$3:$N$65,4,FALSE)),0,(VLOOKUP($N94,Veg_Parameters!$A$3:$N$65,4,FALSE)))</f>
        <v>0</v>
      </c>
      <c r="BG94" s="527">
        <f>AH94*(IF(ISNA(VLOOKUP($N94,Veg_Parameters!$A$3:$N$65,7,FALSE)),0, (VLOOKUP($N94,Veg_Parameters!$A$3:$N$65,7,FALSE))))</f>
        <v>0</v>
      </c>
      <c r="BH94" s="527">
        <f>IF(ISNA(VLOOKUP($N94,Veg_Parameters!$A$3:$N$65,6,FALSE)), 0, (VLOOKUP($N94,Veg_Parameters!$A$3:$N$65,6,FALSE)))</f>
        <v>0</v>
      </c>
      <c r="BI94" s="529">
        <f t="shared" si="119"/>
        <v>20</v>
      </c>
      <c r="BJ94" s="529">
        <f t="shared" si="139"/>
        <v>0</v>
      </c>
      <c r="BK94" s="529">
        <f t="shared" si="120"/>
        <v>0</v>
      </c>
      <c r="BL94" s="530">
        <f t="shared" si="140"/>
        <v>0</v>
      </c>
      <c r="BM94" s="527" t="s">
        <v>3</v>
      </c>
      <c r="BN94" s="527">
        <f>IF(ISNA(VLOOKUP(N94,Veg_Parameters!$A$3:$N$65,8,FALSE)), 0, (VLOOKUP($N94,Veg_Parameters!$A$3:$N$65,8,FALSE)))</f>
        <v>0</v>
      </c>
      <c r="BO94" s="527">
        <f>AH94*(IF(ISNA(VLOOKUP($N94,Veg_Parameters!$A$3:$N$65,9,FALSE)), 0, (VLOOKUP($N94,Veg_Parameters!$A$3:$N$65,9,FALSE))))</f>
        <v>0</v>
      </c>
      <c r="BP94" s="527" t="str">
        <f>IF(ISBLANK(N94),"0",VLOOKUP($N94,Veg_Parameters!$A$4:$U$65,21,))</f>
        <v>0</v>
      </c>
      <c r="BQ94" s="529">
        <f t="shared" si="141"/>
        <v>0</v>
      </c>
      <c r="BR94" s="529">
        <f t="shared" si="142"/>
        <v>0</v>
      </c>
      <c r="BS94" s="529">
        <f t="shared" si="121"/>
        <v>0</v>
      </c>
      <c r="BT94" s="529">
        <f t="shared" si="143"/>
        <v>0</v>
      </c>
      <c r="BU94" s="529">
        <f t="shared" si="144"/>
        <v>0</v>
      </c>
      <c r="BV94" s="529">
        <f t="shared" si="145"/>
        <v>0</v>
      </c>
      <c r="BW94" s="532" t="str">
        <f t="shared" si="122"/>
        <v/>
      </c>
      <c r="BX94" s="532" t="str">
        <f t="shared" si="123"/>
        <v/>
      </c>
      <c r="BY94" s="532" t="str">
        <f t="shared" si="124"/>
        <v/>
      </c>
      <c r="BZ94" s="532" t="str">
        <f t="shared" si="125"/>
        <v/>
      </c>
      <c r="CA94" s="532">
        <f t="shared" si="126"/>
        <v>0</v>
      </c>
      <c r="CB94" s="533"/>
      <c r="CC94" s="624">
        <f t="shared" si="127"/>
        <v>0</v>
      </c>
      <c r="CD94" s="534">
        <f t="shared" si="128"/>
        <v>0</v>
      </c>
      <c r="CE94" s="534">
        <f t="shared" si="129"/>
        <v>0</v>
      </c>
      <c r="CF94" s="534">
        <f t="shared" si="130"/>
        <v>0</v>
      </c>
      <c r="CG94" s="534"/>
      <c r="CH94" s="534"/>
      <c r="CI94" s="534">
        <f t="shared" si="146"/>
        <v>0</v>
      </c>
      <c r="CL94" s="534">
        <f>IF(ISNA(VLOOKUP(I94,Veg_Parameters!$A$3:$N$65,13,FALSE)),0,(VLOOKUP(I94,Veg_Parameters!$A$3:$N$65,13,FALSE)))</f>
        <v>0</v>
      </c>
      <c r="CM94" s="534">
        <f t="shared" si="147"/>
        <v>0</v>
      </c>
      <c r="CN94" s="534">
        <f>IF(ISNA(VLOOKUP(N94,Veg_Parameters!$A$3:$N$65,13,FALSE)),0,(VLOOKUP(N94,Veg_Parameters!$A$3:$N$65,13,FALSE)))</f>
        <v>0</v>
      </c>
      <c r="CO94" s="523">
        <f t="shared" si="148"/>
        <v>0</v>
      </c>
    </row>
    <row r="95" spans="1:93" x14ac:dyDescent="0.2">
      <c r="A95" s="227"/>
      <c r="B95" s="171" t="str">
        <f t="shared" si="149"/>
        <v/>
      </c>
      <c r="C95" s="230"/>
      <c r="D95" s="169"/>
      <c r="E95" s="165"/>
      <c r="F95" s="165"/>
      <c r="G95" s="165"/>
      <c r="H95" s="165"/>
      <c r="I95" s="168"/>
      <c r="J95" s="167"/>
      <c r="K95" s="168"/>
      <c r="L95" s="167"/>
      <c r="M95" s="167"/>
      <c r="N95" s="168"/>
      <c r="O95" s="168"/>
      <c r="P95" s="167"/>
      <c r="Q95" s="167"/>
      <c r="R95" s="167"/>
      <c r="S95" s="222" t="str">
        <f>IF(ISBLANK(A95),"",IF(ISNA(VLOOKUP(I95,Veg_Parameters!$A$3:$N$65,3,FALSE)),0,(VLOOKUP(I95,Veg_Parameters!$A$3:$N$65,3,FALSE))))</f>
        <v/>
      </c>
      <c r="T95" s="222" t="str">
        <f>IF(ISBLANK(N95),"",IF(ISNA(VLOOKUP(N95,Veg_Parameters!$A$3:$N$65,3,FALSE)),0,(VLOOKUP(N95,Veg_Parameters!$A$3:$N$65,3,FALSE))))</f>
        <v/>
      </c>
      <c r="U95" s="523">
        <f t="shared" si="131"/>
        <v>0</v>
      </c>
      <c r="V95" s="523">
        <f t="shared" si="108"/>
        <v>0</v>
      </c>
      <c r="W95" s="524">
        <f>IF(ISBLANK(A95),0,IF(ISNA(VLOOKUP($I95,Veg_Parameters!$A$3:$N$65,10,FALSE)),0,(VLOOKUP($I95,Veg_Parameters!$A$3:$N$65,10,FALSE))))</f>
        <v>0</v>
      </c>
      <c r="X95" s="524">
        <f>IF(ISBLANK(A95),0,IF(ISNA(VLOOKUP($I95,Veg_Parameters!$A$3:$N$65,11,FALSE)),0,(VLOOKUP($I95,Veg_Parameters!$A$3:$N$65,11,FALSE))))</f>
        <v>0</v>
      </c>
      <c r="Y95" s="524">
        <f>IF(ISBLANK(A95),0,IF(ISNA(VLOOKUP($I95,Veg_Parameters!$A$3:$N$65,12,FALSE)),0,(VLOOKUP($I95,Veg_Parameters!$A$3:$N$65,12,FALSE))))</f>
        <v>0</v>
      </c>
      <c r="Z95" s="525">
        <f t="shared" si="150"/>
        <v>0</v>
      </c>
      <c r="AA95" s="525">
        <f t="shared" si="109"/>
        <v>0</v>
      </c>
      <c r="AB95" s="525">
        <f t="shared" si="110"/>
        <v>0</v>
      </c>
      <c r="AC95" s="524">
        <f>IF(ISBLANK(N95),0,IF(ISNA(VLOOKUP($N95,Veg_Parameters!$A$3:$N$65,10,FALSE)),0,(VLOOKUP($N95,Veg_Parameters!$A$3:$N$65,10,FALSE))))</f>
        <v>0</v>
      </c>
      <c r="AD95" s="524">
        <f>IF(ISBLANK(N95),0,IF(ISNA(VLOOKUP($N95,Veg_Parameters!$A$3:$N$65,11,FALSE)),0,(VLOOKUP($N95,Veg_Parameters!$A$3:$N$65,11,FALSE))))</f>
        <v>0</v>
      </c>
      <c r="AE95" s="524">
        <f>IF(ISBLANK(N95), 0, IF(ISNA(VLOOKUP($N95,Veg_Parameters!$A$3:$N$65,12,FALSE)),0,(VLOOKUP($N95,Veg_Parameters!$A$3:$N$65,12,FALSE))))</f>
        <v>0</v>
      </c>
      <c r="AF95" s="523">
        <f t="shared" si="111"/>
        <v>0</v>
      </c>
      <c r="AG95" s="523">
        <f t="shared" si="112"/>
        <v>0</v>
      </c>
      <c r="AH95" s="523">
        <f t="shared" si="113"/>
        <v>0</v>
      </c>
      <c r="AI95" s="526"/>
      <c r="AJ95" s="527">
        <f>AB95*(IF(ISNA(VLOOKUP($I95,Veg_Parameters!$A$3:$N$65,5,FALSE)),0,(VLOOKUP($I95,Veg_Parameters!$A$3:$N$65,5,FALSE))))</f>
        <v>0</v>
      </c>
      <c r="AK95" s="527">
        <f>IF(ISNA(VLOOKUP($I95,Veg_Parameters!$A$3:$N$65,4,FALSE)),0,(VLOOKUP($I95,Veg_Parameters!$A$3:$N$65,4,FALSE)))</f>
        <v>0</v>
      </c>
      <c r="AL95" s="527">
        <f>AB95*(IF(ISNA(VLOOKUP($I95,Veg_Parameters!$A$3:$N$65,7,FALSE)),0, (VLOOKUP($I95,Veg_Parameters!$A$3:$N$65,7,FALSE))))</f>
        <v>0</v>
      </c>
      <c r="AM95" s="528">
        <f>IF(ISNA(VLOOKUP($I95,Veg_Parameters!$A$3:$N$65,6,FALSE)), 0, (VLOOKUP($I95,Veg_Parameters!$A$3:$N$65,6,FALSE)))</f>
        <v>0</v>
      </c>
      <c r="AN95" s="529">
        <f t="shared" si="114"/>
        <v>20</v>
      </c>
      <c r="AO95" s="529">
        <f t="shared" si="115"/>
        <v>0</v>
      </c>
      <c r="AP95" s="529">
        <f t="shared" si="116"/>
        <v>0</v>
      </c>
      <c r="AQ95" s="530">
        <f t="shared" si="132"/>
        <v>0</v>
      </c>
      <c r="AR95" s="527" t="s">
        <v>3</v>
      </c>
      <c r="AS95" s="527">
        <f>IF(ISNA(VLOOKUP($I95,Veg_Parameters!$A$3:$N$65,8,FALSE)), 0, (VLOOKUP($I95,Veg_Parameters!$A$3:$N$65,8,FALSE)))</f>
        <v>0</v>
      </c>
      <c r="AT95" s="527">
        <f>AB95*(IF(ISNA(VLOOKUP($I95,Veg_Parameters!$A$3:$N$65,9,FALSE)), 0, (VLOOKUP($I95,Veg_Parameters!$A$3:$N$65,9,FALSE))))</f>
        <v>0</v>
      </c>
      <c r="AU95" s="527">
        <f>IF(ISBLANK(A95),0,VLOOKUP($I95,Veg_Parameters!$A$4:$U$65,21,))</f>
        <v>0</v>
      </c>
      <c r="AV95" s="527">
        <f t="shared" si="133"/>
        <v>0</v>
      </c>
      <c r="AW95" s="529">
        <f t="shared" si="134"/>
        <v>0</v>
      </c>
      <c r="AX95" s="529">
        <f t="shared" si="135"/>
        <v>0</v>
      </c>
      <c r="AY95" s="529">
        <f t="shared" si="117"/>
        <v>0</v>
      </c>
      <c r="AZ95" s="529">
        <f t="shared" si="136"/>
        <v>0</v>
      </c>
      <c r="BA95" s="529">
        <f t="shared" si="137"/>
        <v>0</v>
      </c>
      <c r="BB95" s="529">
        <f t="shared" si="138"/>
        <v>0</v>
      </c>
      <c r="BC95" s="529">
        <f t="shared" si="118"/>
        <v>0</v>
      </c>
      <c r="BD95" s="531"/>
      <c r="BE95" s="527">
        <f>AH95*(IF(ISNA(VLOOKUP($N95,Veg_Parameters!$A$3:$N$65,5,FALSE)),0,(VLOOKUP($N95,Veg_Parameters!$A$3:$N$65,5,FALSE))))</f>
        <v>0</v>
      </c>
      <c r="BF95" s="527">
        <f>IF(ISNA(VLOOKUP($N95,Veg_Parameters!$A$3:$N$65,4,FALSE)),0,(VLOOKUP($N95,Veg_Parameters!$A$3:$N$65,4,FALSE)))</f>
        <v>0</v>
      </c>
      <c r="BG95" s="527">
        <f>AH95*(IF(ISNA(VLOOKUP($N95,Veg_Parameters!$A$3:$N$65,7,FALSE)),0, (VLOOKUP($N95,Veg_Parameters!$A$3:$N$65,7,FALSE))))</f>
        <v>0</v>
      </c>
      <c r="BH95" s="527">
        <f>IF(ISNA(VLOOKUP($N95,Veg_Parameters!$A$3:$N$65,6,FALSE)), 0, (VLOOKUP($N95,Veg_Parameters!$A$3:$N$65,6,FALSE)))</f>
        <v>0</v>
      </c>
      <c r="BI95" s="529">
        <f t="shared" si="119"/>
        <v>20</v>
      </c>
      <c r="BJ95" s="529">
        <f t="shared" si="139"/>
        <v>0</v>
      </c>
      <c r="BK95" s="529">
        <f t="shared" si="120"/>
        <v>0</v>
      </c>
      <c r="BL95" s="530">
        <f t="shared" si="140"/>
        <v>0</v>
      </c>
      <c r="BM95" s="527" t="s">
        <v>3</v>
      </c>
      <c r="BN95" s="527">
        <f>IF(ISNA(VLOOKUP(N95,Veg_Parameters!$A$3:$N$65,8,FALSE)), 0, (VLOOKUP($N95,Veg_Parameters!$A$3:$N$65,8,FALSE)))</f>
        <v>0</v>
      </c>
      <c r="BO95" s="527">
        <f>AH95*(IF(ISNA(VLOOKUP($N95,Veg_Parameters!$A$3:$N$65,9,FALSE)), 0, (VLOOKUP($N95,Veg_Parameters!$A$3:$N$65,9,FALSE))))</f>
        <v>0</v>
      </c>
      <c r="BP95" s="527" t="str">
        <f>IF(ISBLANK(N95),"0",VLOOKUP($N95,Veg_Parameters!$A$4:$U$65,21,))</f>
        <v>0</v>
      </c>
      <c r="BQ95" s="529">
        <f t="shared" si="141"/>
        <v>0</v>
      </c>
      <c r="BR95" s="529">
        <f t="shared" si="142"/>
        <v>0</v>
      </c>
      <c r="BS95" s="529">
        <f t="shared" si="121"/>
        <v>0</v>
      </c>
      <c r="BT95" s="529">
        <f t="shared" si="143"/>
        <v>0</v>
      </c>
      <c r="BU95" s="529">
        <f t="shared" si="144"/>
        <v>0</v>
      </c>
      <c r="BV95" s="529">
        <f t="shared" si="145"/>
        <v>0</v>
      </c>
      <c r="BW95" s="532" t="str">
        <f t="shared" si="122"/>
        <v/>
      </c>
      <c r="BX95" s="532" t="str">
        <f t="shared" si="123"/>
        <v/>
      </c>
      <c r="BY95" s="532" t="str">
        <f t="shared" si="124"/>
        <v/>
      </c>
      <c r="BZ95" s="532" t="str">
        <f t="shared" si="125"/>
        <v/>
      </c>
      <c r="CA95" s="532">
        <f t="shared" si="126"/>
        <v>0</v>
      </c>
      <c r="CB95" s="533"/>
      <c r="CC95" s="624">
        <f t="shared" si="127"/>
        <v>0</v>
      </c>
      <c r="CD95" s="534">
        <f t="shared" si="128"/>
        <v>0</v>
      </c>
      <c r="CE95" s="534">
        <f t="shared" si="129"/>
        <v>0</v>
      </c>
      <c r="CF95" s="534">
        <f t="shared" si="130"/>
        <v>0</v>
      </c>
      <c r="CG95" s="534"/>
      <c r="CH95" s="534"/>
      <c r="CI95" s="534">
        <f t="shared" si="146"/>
        <v>0</v>
      </c>
      <c r="CL95" s="534">
        <f>IF(ISNA(VLOOKUP(I95,Veg_Parameters!$A$3:$N$65,13,FALSE)),0,(VLOOKUP(I95,Veg_Parameters!$A$3:$N$65,13,FALSE)))</f>
        <v>0</v>
      </c>
      <c r="CM95" s="534">
        <f t="shared" si="147"/>
        <v>0</v>
      </c>
      <c r="CN95" s="534">
        <f>IF(ISNA(VLOOKUP(N95,Veg_Parameters!$A$3:$N$65,13,FALSE)),0,(VLOOKUP(N95,Veg_Parameters!$A$3:$N$65,13,FALSE)))</f>
        <v>0</v>
      </c>
      <c r="CO95" s="523">
        <f t="shared" si="148"/>
        <v>0</v>
      </c>
    </row>
    <row r="96" spans="1:93" x14ac:dyDescent="0.2">
      <c r="A96" s="227"/>
      <c r="B96" s="171" t="str">
        <f t="shared" si="149"/>
        <v/>
      </c>
      <c r="C96" s="230"/>
      <c r="D96" s="169"/>
      <c r="E96" s="165"/>
      <c r="F96" s="165"/>
      <c r="G96" s="165"/>
      <c r="H96" s="165"/>
      <c r="I96" s="168"/>
      <c r="J96" s="167"/>
      <c r="K96" s="168"/>
      <c r="L96" s="167"/>
      <c r="M96" s="167"/>
      <c r="N96" s="168"/>
      <c r="O96" s="168"/>
      <c r="P96" s="167"/>
      <c r="Q96" s="167"/>
      <c r="R96" s="167"/>
      <c r="S96" s="222" t="str">
        <f>IF(ISBLANK(A96),"",IF(ISNA(VLOOKUP(I96,Veg_Parameters!$A$3:$N$65,3,FALSE)),0,(VLOOKUP(I96,Veg_Parameters!$A$3:$N$65,3,FALSE))))</f>
        <v/>
      </c>
      <c r="T96" s="222" t="str">
        <f>IF(ISBLANK(N96),"",IF(ISNA(VLOOKUP(N96,Veg_Parameters!$A$3:$N$65,3,FALSE)),0,(VLOOKUP(N96,Veg_Parameters!$A$3:$N$65,3,FALSE))))</f>
        <v/>
      </c>
      <c r="U96" s="523">
        <f t="shared" si="131"/>
        <v>0</v>
      </c>
      <c r="V96" s="523">
        <f t="shared" si="108"/>
        <v>0</v>
      </c>
      <c r="W96" s="524">
        <f>IF(ISBLANK(A96),0,IF(ISNA(VLOOKUP($I96,Veg_Parameters!$A$3:$N$65,10,FALSE)),0,(VLOOKUP($I96,Veg_Parameters!$A$3:$N$65,10,FALSE))))</f>
        <v>0</v>
      </c>
      <c r="X96" s="524">
        <f>IF(ISBLANK(A96),0,IF(ISNA(VLOOKUP($I96,Veg_Parameters!$A$3:$N$65,11,FALSE)),0,(VLOOKUP($I96,Veg_Parameters!$A$3:$N$65,11,FALSE))))</f>
        <v>0</v>
      </c>
      <c r="Y96" s="524">
        <f>IF(ISBLANK(A96),0,IF(ISNA(VLOOKUP($I96,Veg_Parameters!$A$3:$N$65,12,FALSE)),0,(VLOOKUP($I96,Veg_Parameters!$A$3:$N$65,12,FALSE))))</f>
        <v>0</v>
      </c>
      <c r="Z96" s="525">
        <f t="shared" si="150"/>
        <v>0</v>
      </c>
      <c r="AA96" s="525">
        <f t="shared" si="109"/>
        <v>0</v>
      </c>
      <c r="AB96" s="525">
        <f t="shared" si="110"/>
        <v>0</v>
      </c>
      <c r="AC96" s="524">
        <f>IF(ISBLANK(N96),0,IF(ISNA(VLOOKUP($N96,Veg_Parameters!$A$3:$N$65,10,FALSE)),0,(VLOOKUP($N96,Veg_Parameters!$A$3:$N$65,10,FALSE))))</f>
        <v>0</v>
      </c>
      <c r="AD96" s="524">
        <f>IF(ISBLANK(N96),0,IF(ISNA(VLOOKUP($N96,Veg_Parameters!$A$3:$N$65,11,FALSE)),0,(VLOOKUP($N96,Veg_Parameters!$A$3:$N$65,11,FALSE))))</f>
        <v>0</v>
      </c>
      <c r="AE96" s="524">
        <f>IF(ISBLANK(N96), 0, IF(ISNA(VLOOKUP($N96,Veg_Parameters!$A$3:$N$65,12,FALSE)),0,(VLOOKUP($N96,Veg_Parameters!$A$3:$N$65,12,FALSE))))</f>
        <v>0</v>
      </c>
      <c r="AF96" s="523">
        <f t="shared" si="111"/>
        <v>0</v>
      </c>
      <c r="AG96" s="523">
        <f t="shared" si="112"/>
        <v>0</v>
      </c>
      <c r="AH96" s="523">
        <f t="shared" si="113"/>
        <v>0</v>
      </c>
      <c r="AI96" s="526"/>
      <c r="AJ96" s="527">
        <f>AB96*(IF(ISNA(VLOOKUP($I96,Veg_Parameters!$A$3:$N$65,5,FALSE)),0,(VLOOKUP($I96,Veg_Parameters!$A$3:$N$65,5,FALSE))))</f>
        <v>0</v>
      </c>
      <c r="AK96" s="527">
        <f>IF(ISNA(VLOOKUP($I96,Veg_Parameters!$A$3:$N$65,4,FALSE)),0,(VLOOKUP($I96,Veg_Parameters!$A$3:$N$65,4,FALSE)))</f>
        <v>0</v>
      </c>
      <c r="AL96" s="527">
        <f>AB96*(IF(ISNA(VLOOKUP($I96,Veg_Parameters!$A$3:$N$65,7,FALSE)),0, (VLOOKUP($I96,Veg_Parameters!$A$3:$N$65,7,FALSE))))</f>
        <v>0</v>
      </c>
      <c r="AM96" s="528">
        <f>IF(ISNA(VLOOKUP($I96,Veg_Parameters!$A$3:$N$65,6,FALSE)), 0, (VLOOKUP($I96,Veg_Parameters!$A$3:$N$65,6,FALSE)))</f>
        <v>0</v>
      </c>
      <c r="AN96" s="529">
        <f t="shared" si="114"/>
        <v>20</v>
      </c>
      <c r="AO96" s="529">
        <f t="shared" si="115"/>
        <v>0</v>
      </c>
      <c r="AP96" s="529">
        <f t="shared" si="116"/>
        <v>0</v>
      </c>
      <c r="AQ96" s="530">
        <f t="shared" si="132"/>
        <v>0</v>
      </c>
      <c r="AR96" s="527" t="s">
        <v>3</v>
      </c>
      <c r="AS96" s="527">
        <f>IF(ISNA(VLOOKUP($I96,Veg_Parameters!$A$3:$N$65,8,FALSE)), 0, (VLOOKUP($I96,Veg_Parameters!$A$3:$N$65,8,FALSE)))</f>
        <v>0</v>
      </c>
      <c r="AT96" s="527">
        <f>AB96*(IF(ISNA(VLOOKUP($I96,Veg_Parameters!$A$3:$N$65,9,FALSE)), 0, (VLOOKUP($I96,Veg_Parameters!$A$3:$N$65,9,FALSE))))</f>
        <v>0</v>
      </c>
      <c r="AU96" s="527">
        <f>IF(ISBLANK(A96),0,VLOOKUP($I96,Veg_Parameters!$A$4:$U$65,21,))</f>
        <v>0</v>
      </c>
      <c r="AV96" s="527">
        <f t="shared" si="133"/>
        <v>0</v>
      </c>
      <c r="AW96" s="529">
        <f t="shared" si="134"/>
        <v>0</v>
      </c>
      <c r="AX96" s="529">
        <f t="shared" si="135"/>
        <v>0</v>
      </c>
      <c r="AY96" s="529">
        <f t="shared" si="117"/>
        <v>0</v>
      </c>
      <c r="AZ96" s="529">
        <f t="shared" si="136"/>
        <v>0</v>
      </c>
      <c r="BA96" s="529">
        <f t="shared" si="137"/>
        <v>0</v>
      </c>
      <c r="BB96" s="529">
        <f t="shared" si="138"/>
        <v>0</v>
      </c>
      <c r="BC96" s="529">
        <f t="shared" si="118"/>
        <v>0</v>
      </c>
      <c r="BD96" s="531"/>
      <c r="BE96" s="527">
        <f>AH96*(IF(ISNA(VLOOKUP($N96,Veg_Parameters!$A$3:$N$65,5,FALSE)),0,(VLOOKUP($N96,Veg_Parameters!$A$3:$N$65,5,FALSE))))</f>
        <v>0</v>
      </c>
      <c r="BF96" s="527">
        <f>IF(ISNA(VLOOKUP($N96,Veg_Parameters!$A$3:$N$65,4,FALSE)),0,(VLOOKUP($N96,Veg_Parameters!$A$3:$N$65,4,FALSE)))</f>
        <v>0</v>
      </c>
      <c r="BG96" s="527">
        <f>AH96*(IF(ISNA(VLOOKUP($N96,Veg_Parameters!$A$3:$N$65,7,FALSE)),0, (VLOOKUP($N96,Veg_Parameters!$A$3:$N$65,7,FALSE))))</f>
        <v>0</v>
      </c>
      <c r="BH96" s="527">
        <f>IF(ISNA(VLOOKUP($N96,Veg_Parameters!$A$3:$N$65,6,FALSE)), 0, (VLOOKUP($N96,Veg_Parameters!$A$3:$N$65,6,FALSE)))</f>
        <v>0</v>
      </c>
      <c r="BI96" s="529">
        <f t="shared" si="119"/>
        <v>20</v>
      </c>
      <c r="BJ96" s="529">
        <f t="shared" si="139"/>
        <v>0</v>
      </c>
      <c r="BK96" s="529">
        <f t="shared" si="120"/>
        <v>0</v>
      </c>
      <c r="BL96" s="530">
        <f t="shared" si="140"/>
        <v>0</v>
      </c>
      <c r="BM96" s="527" t="s">
        <v>3</v>
      </c>
      <c r="BN96" s="527">
        <f>IF(ISNA(VLOOKUP(N96,Veg_Parameters!$A$3:$N$65,8,FALSE)), 0, (VLOOKUP($N96,Veg_Parameters!$A$3:$N$65,8,FALSE)))</f>
        <v>0</v>
      </c>
      <c r="BO96" s="527">
        <f>AH96*(IF(ISNA(VLOOKUP($N96,Veg_Parameters!$A$3:$N$65,9,FALSE)), 0, (VLOOKUP($N96,Veg_Parameters!$A$3:$N$65,9,FALSE))))</f>
        <v>0</v>
      </c>
      <c r="BP96" s="527" t="str">
        <f>IF(ISBLANK(N96),"0",VLOOKUP($N96,Veg_Parameters!$A$4:$U$65,21,))</f>
        <v>0</v>
      </c>
      <c r="BQ96" s="529">
        <f t="shared" si="141"/>
        <v>0</v>
      </c>
      <c r="BR96" s="529">
        <f t="shared" si="142"/>
        <v>0</v>
      </c>
      <c r="BS96" s="529">
        <f t="shared" si="121"/>
        <v>0</v>
      </c>
      <c r="BT96" s="529">
        <f t="shared" si="143"/>
        <v>0</v>
      </c>
      <c r="BU96" s="529">
        <f t="shared" si="144"/>
        <v>0</v>
      </c>
      <c r="BV96" s="529">
        <f t="shared" si="145"/>
        <v>0</v>
      </c>
      <c r="BW96" s="532" t="str">
        <f t="shared" si="122"/>
        <v/>
      </c>
      <c r="BX96" s="532" t="str">
        <f t="shared" si="123"/>
        <v/>
      </c>
      <c r="BY96" s="532" t="str">
        <f t="shared" si="124"/>
        <v/>
      </c>
      <c r="BZ96" s="532" t="str">
        <f t="shared" si="125"/>
        <v/>
      </c>
      <c r="CA96" s="532">
        <f t="shared" si="126"/>
        <v>0</v>
      </c>
      <c r="CB96" s="533"/>
      <c r="CC96" s="624">
        <f t="shared" si="127"/>
        <v>0</v>
      </c>
      <c r="CD96" s="534">
        <f t="shared" si="128"/>
        <v>0</v>
      </c>
      <c r="CE96" s="534">
        <f t="shared" si="129"/>
        <v>0</v>
      </c>
      <c r="CF96" s="534">
        <f t="shared" si="130"/>
        <v>0</v>
      </c>
      <c r="CG96" s="534"/>
      <c r="CH96" s="534"/>
      <c r="CI96" s="534">
        <f t="shared" si="146"/>
        <v>0</v>
      </c>
      <c r="CL96" s="534">
        <f>IF(ISNA(VLOOKUP(I96,Veg_Parameters!$A$3:$N$65,13,FALSE)),0,(VLOOKUP(I96,Veg_Parameters!$A$3:$N$65,13,FALSE)))</f>
        <v>0</v>
      </c>
      <c r="CM96" s="534">
        <f t="shared" si="147"/>
        <v>0</v>
      </c>
      <c r="CN96" s="534">
        <f>IF(ISNA(VLOOKUP(N96,Veg_Parameters!$A$3:$N$65,13,FALSE)),0,(VLOOKUP(N96,Veg_Parameters!$A$3:$N$65,13,FALSE)))</f>
        <v>0</v>
      </c>
      <c r="CO96" s="523">
        <f t="shared" si="148"/>
        <v>0</v>
      </c>
    </row>
    <row r="97" spans="1:93" ht="13.5" thickBot="1" x14ac:dyDescent="0.25">
      <c r="A97" s="227"/>
      <c r="B97" s="171" t="str">
        <f t="shared" si="149"/>
        <v/>
      </c>
      <c r="C97" s="230"/>
      <c r="D97" s="169"/>
      <c r="E97" s="165"/>
      <c r="F97" s="165"/>
      <c r="G97" s="165"/>
      <c r="H97" s="165"/>
      <c r="I97" s="168"/>
      <c r="J97" s="167"/>
      <c r="K97" s="168"/>
      <c r="L97" s="167"/>
      <c r="M97" s="167"/>
      <c r="N97" s="168"/>
      <c r="O97" s="168"/>
      <c r="P97" s="167"/>
      <c r="Q97" s="167"/>
      <c r="R97" s="167"/>
      <c r="S97" s="222" t="str">
        <f>IF(ISBLANK(A97),"",IF(ISNA(VLOOKUP(I97,Veg_Parameters!$A$3:$N$65,3,FALSE)),0,(VLOOKUP(I97,Veg_Parameters!$A$3:$N$65,3,FALSE))))</f>
        <v/>
      </c>
      <c r="T97" s="222" t="str">
        <f>IF(ISBLANK(N97),"",IF(ISNA(VLOOKUP(N97,Veg_Parameters!$A$3:$N$65,3,FALSE)),0,(VLOOKUP(N97,Veg_Parameters!$A$3:$N$65,3,FALSE))))</f>
        <v/>
      </c>
      <c r="U97" s="523">
        <f t="shared" si="131"/>
        <v>0</v>
      </c>
      <c r="V97" s="523">
        <f t="shared" si="108"/>
        <v>0</v>
      </c>
      <c r="W97" s="524">
        <f>IF(ISBLANK(A97),0,IF(ISNA(VLOOKUP($I97,Veg_Parameters!$A$3:$N$65,10,FALSE)),0,(VLOOKUP($I97,Veg_Parameters!$A$3:$N$65,10,FALSE))))</f>
        <v>0</v>
      </c>
      <c r="X97" s="524">
        <f>IF(ISBLANK(A97),0,IF(ISNA(VLOOKUP($I97,Veg_Parameters!$A$3:$N$65,11,FALSE)),0,(VLOOKUP($I97,Veg_Parameters!$A$3:$N$65,11,FALSE))))</f>
        <v>0</v>
      </c>
      <c r="Y97" s="524">
        <f>IF(ISBLANK(A97),0,IF(ISNA(VLOOKUP($I97,Veg_Parameters!$A$3:$N$65,12,FALSE)),0,(VLOOKUP($I97,Veg_Parameters!$A$3:$N$65,12,FALSE))))</f>
        <v>0</v>
      </c>
      <c r="Z97" s="525">
        <f t="shared" si="150"/>
        <v>0</v>
      </c>
      <c r="AA97" s="525">
        <f t="shared" si="109"/>
        <v>0</v>
      </c>
      <c r="AB97" s="525">
        <f t="shared" si="110"/>
        <v>0</v>
      </c>
      <c r="AC97" s="524">
        <f>IF(ISBLANK(N97),0,IF(ISNA(VLOOKUP($N97,Veg_Parameters!$A$3:$N$65,10,FALSE)),0,(VLOOKUP($N97,Veg_Parameters!$A$3:$N$65,10,FALSE))))</f>
        <v>0</v>
      </c>
      <c r="AD97" s="524">
        <f>IF(ISBLANK(N97),0,IF(ISNA(VLOOKUP($N97,Veg_Parameters!$A$3:$N$65,11,FALSE)),0,(VLOOKUP($N97,Veg_Parameters!$A$3:$N$65,11,FALSE))))</f>
        <v>0</v>
      </c>
      <c r="AE97" s="524">
        <f>IF(ISBLANK(N97), 0, IF(ISNA(VLOOKUP($N97,Veg_Parameters!$A$3:$N$65,12,FALSE)),0,(VLOOKUP($N97,Veg_Parameters!$A$3:$N$65,12,FALSE))))</f>
        <v>0</v>
      </c>
      <c r="AF97" s="523">
        <f t="shared" si="111"/>
        <v>0</v>
      </c>
      <c r="AG97" s="523">
        <f t="shared" si="112"/>
        <v>0</v>
      </c>
      <c r="AH97" s="523">
        <f t="shared" si="113"/>
        <v>0</v>
      </c>
      <c r="AI97" s="526"/>
      <c r="AJ97" s="527">
        <f>AB97*(IF(ISNA(VLOOKUP($I97,Veg_Parameters!$A$3:$N$65,5,FALSE)),0,(VLOOKUP($I97,Veg_Parameters!$A$3:$N$65,5,FALSE))))</f>
        <v>0</v>
      </c>
      <c r="AK97" s="527">
        <f>IF(ISNA(VLOOKUP($I97,Veg_Parameters!$A$3:$N$65,4,FALSE)),0,(VLOOKUP($I97,Veg_Parameters!$A$3:$N$65,4,FALSE)))</f>
        <v>0</v>
      </c>
      <c r="AL97" s="527">
        <f>AB97*(IF(ISNA(VLOOKUP($I97,Veg_Parameters!$A$3:$N$65,7,FALSE)),0, (VLOOKUP($I97,Veg_Parameters!$A$3:$N$65,7,FALSE))))</f>
        <v>0</v>
      </c>
      <c r="AM97" s="528">
        <f>IF(ISNA(VLOOKUP($I97,Veg_Parameters!$A$3:$N$65,6,FALSE)), 0, (VLOOKUP($I97,Veg_Parameters!$A$3:$N$65,6,FALSE)))</f>
        <v>0</v>
      </c>
      <c r="AN97" s="529">
        <f t="shared" si="114"/>
        <v>20</v>
      </c>
      <c r="AO97" s="529">
        <f t="shared" si="115"/>
        <v>0</v>
      </c>
      <c r="AP97" s="529">
        <f t="shared" si="116"/>
        <v>0</v>
      </c>
      <c r="AQ97" s="530">
        <f t="shared" si="132"/>
        <v>0</v>
      </c>
      <c r="AR97" s="527" t="s">
        <v>3</v>
      </c>
      <c r="AS97" s="527">
        <f>IF(ISNA(VLOOKUP($I97,Veg_Parameters!$A$3:$N$65,8,FALSE)), 0, (VLOOKUP($I97,Veg_Parameters!$A$3:$N$65,8,FALSE)))</f>
        <v>0</v>
      </c>
      <c r="AT97" s="527">
        <f>AB97*(IF(ISNA(VLOOKUP($I97,Veg_Parameters!$A$3:$N$65,9,FALSE)), 0, (VLOOKUP($I97,Veg_Parameters!$A$3:$N$65,9,FALSE))))</f>
        <v>0</v>
      </c>
      <c r="AU97" s="527">
        <f>IF(ISBLANK(A97),0,VLOOKUP($I97,Veg_Parameters!$A$4:$U$65,21,))</f>
        <v>0</v>
      </c>
      <c r="AV97" s="527">
        <f t="shared" si="133"/>
        <v>0</v>
      </c>
      <c r="AW97" s="529">
        <f t="shared" si="134"/>
        <v>0</v>
      </c>
      <c r="AX97" s="529">
        <f t="shared" si="135"/>
        <v>0</v>
      </c>
      <c r="AY97" s="529">
        <f t="shared" si="117"/>
        <v>0</v>
      </c>
      <c r="AZ97" s="529">
        <f t="shared" si="136"/>
        <v>0</v>
      </c>
      <c r="BA97" s="529">
        <f t="shared" si="137"/>
        <v>0</v>
      </c>
      <c r="BB97" s="529">
        <f t="shared" si="138"/>
        <v>0</v>
      </c>
      <c r="BC97" s="529">
        <f t="shared" si="118"/>
        <v>0</v>
      </c>
      <c r="BD97" s="531"/>
      <c r="BE97" s="527">
        <f>AH97*(IF(ISNA(VLOOKUP($N97,Veg_Parameters!$A$3:$N$65,5,FALSE)),0,(VLOOKUP($N97,Veg_Parameters!$A$3:$N$65,5,FALSE))))</f>
        <v>0</v>
      </c>
      <c r="BF97" s="527">
        <f>IF(ISNA(VLOOKUP($N97,Veg_Parameters!$A$3:$N$65,4,FALSE)),0,(VLOOKUP($N97,Veg_Parameters!$A$3:$N$65,4,FALSE)))</f>
        <v>0</v>
      </c>
      <c r="BG97" s="527">
        <f>AH97*(IF(ISNA(VLOOKUP($N97,Veg_Parameters!$A$3:$N$65,7,FALSE)),0, (VLOOKUP($N97,Veg_Parameters!$A$3:$N$65,7,FALSE))))</f>
        <v>0</v>
      </c>
      <c r="BH97" s="527">
        <f>IF(ISNA(VLOOKUP($N97,Veg_Parameters!$A$3:$N$65,6,FALSE)), 0, (VLOOKUP($N97,Veg_Parameters!$A$3:$N$65,6,FALSE)))</f>
        <v>0</v>
      </c>
      <c r="BI97" s="529">
        <f t="shared" si="119"/>
        <v>20</v>
      </c>
      <c r="BJ97" s="529">
        <f t="shared" si="139"/>
        <v>0</v>
      </c>
      <c r="BK97" s="529">
        <f t="shared" si="120"/>
        <v>0</v>
      </c>
      <c r="BL97" s="530">
        <f t="shared" si="140"/>
        <v>0</v>
      </c>
      <c r="BM97" s="527" t="s">
        <v>3</v>
      </c>
      <c r="BN97" s="527">
        <f>IF(ISNA(VLOOKUP(N97,Veg_Parameters!$A$3:$N$65,8,FALSE)), 0, (VLOOKUP($N97,Veg_Parameters!$A$3:$N$65,8,FALSE)))</f>
        <v>0</v>
      </c>
      <c r="BO97" s="527">
        <f>AH97*(IF(ISNA(VLOOKUP($N97,Veg_Parameters!$A$3:$N$65,9,FALSE)), 0, (VLOOKUP($N97,Veg_Parameters!$A$3:$N$65,9,FALSE))))</f>
        <v>0</v>
      </c>
      <c r="BP97" s="527" t="str">
        <f>IF(ISBLANK(N97),"0",VLOOKUP($N97,Veg_Parameters!$A$4:$U$65,21,))</f>
        <v>0</v>
      </c>
      <c r="BQ97" s="529">
        <f t="shared" si="141"/>
        <v>0</v>
      </c>
      <c r="BR97" s="529">
        <f t="shared" si="142"/>
        <v>0</v>
      </c>
      <c r="BS97" s="529">
        <f t="shared" si="121"/>
        <v>0</v>
      </c>
      <c r="BT97" s="529">
        <f t="shared" si="143"/>
        <v>0</v>
      </c>
      <c r="BU97" s="529">
        <f t="shared" si="144"/>
        <v>0</v>
      </c>
      <c r="BV97" s="529">
        <f t="shared" si="145"/>
        <v>0</v>
      </c>
      <c r="BW97" s="532" t="str">
        <f t="shared" si="122"/>
        <v/>
      </c>
      <c r="BX97" s="532" t="str">
        <f t="shared" si="123"/>
        <v/>
      </c>
      <c r="BY97" s="532" t="str">
        <f t="shared" si="124"/>
        <v/>
      </c>
      <c r="BZ97" s="532" t="str">
        <f t="shared" si="125"/>
        <v/>
      </c>
      <c r="CA97" s="532">
        <f t="shared" si="126"/>
        <v>0</v>
      </c>
      <c r="CB97" s="533"/>
      <c r="CC97" s="624">
        <f t="shared" si="127"/>
        <v>0</v>
      </c>
      <c r="CD97" s="534">
        <f t="shared" si="128"/>
        <v>0</v>
      </c>
      <c r="CE97" s="534">
        <f t="shared" si="129"/>
        <v>0</v>
      </c>
      <c r="CF97" s="534">
        <f t="shared" si="130"/>
        <v>0</v>
      </c>
      <c r="CG97" s="534"/>
      <c r="CH97" s="534"/>
      <c r="CI97" s="534">
        <f t="shared" si="146"/>
        <v>0</v>
      </c>
      <c r="CL97" s="534">
        <f>IF(ISNA(VLOOKUP(I97,Veg_Parameters!$A$3:$N$65,13,FALSE)),0,(VLOOKUP(I97,Veg_Parameters!$A$3:$N$65,13,FALSE)))</f>
        <v>0</v>
      </c>
      <c r="CM97" s="534">
        <f t="shared" si="147"/>
        <v>0</v>
      </c>
      <c r="CN97" s="534">
        <f>IF(ISNA(VLOOKUP(N97,Veg_Parameters!$A$3:$N$65,13,FALSE)),0,(VLOOKUP(N97,Veg_Parameters!$A$3:$N$65,13,FALSE)))</f>
        <v>0</v>
      </c>
      <c r="CO97" s="523">
        <f t="shared" si="148"/>
        <v>0</v>
      </c>
    </row>
    <row r="98" spans="1:93" ht="13.5" thickBot="1" x14ac:dyDescent="0.25">
      <c r="A98" s="223" t="s">
        <v>70</v>
      </c>
      <c r="B98" s="50" t="str">
        <f>IF(ISBLANK(B73),"",B73)</f>
        <v/>
      </c>
      <c r="C98" s="223"/>
      <c r="D98" s="51"/>
      <c r="E98" s="51"/>
      <c r="F98" s="51"/>
      <c r="G98" s="91" t="str">
        <f>IFERROR((SUMPRODUCT($U73:$U97,G73:G97))/(100*$U98),"")</f>
        <v/>
      </c>
      <c r="H98" s="91" t="str">
        <f>IFERROR((SUMPRODUCT($U73:$U97,H73:H97))/(100*$U98),"")</f>
        <v/>
      </c>
      <c r="I98" s="51"/>
      <c r="J98" s="51"/>
      <c r="K98" s="51"/>
      <c r="L98" s="51"/>
      <c r="M98" s="51" t="s">
        <v>27</v>
      </c>
      <c r="N98" s="51"/>
      <c r="O98" s="51"/>
      <c r="P98" s="51"/>
      <c r="Q98" s="51"/>
      <c r="R98" s="51" t="s">
        <v>27</v>
      </c>
      <c r="S98" s="223"/>
      <c r="T98" s="223"/>
      <c r="U98" s="562">
        <f>+SUM(U73:U97)</f>
        <v>0</v>
      </c>
      <c r="V98" s="535" t="str">
        <f>IFERROR(SUMPRODUCT(U73:U97, V73:V97)/U98,"")</f>
        <v/>
      </c>
      <c r="W98" s="536"/>
      <c r="X98" s="536"/>
      <c r="Y98" s="536"/>
      <c r="Z98" s="536"/>
      <c r="AA98" s="536"/>
      <c r="AB98" s="536"/>
      <c r="AC98" s="536"/>
      <c r="AD98" s="536"/>
      <c r="AE98" s="536"/>
      <c r="AF98" s="537"/>
      <c r="AG98" s="537"/>
      <c r="AH98" s="537"/>
      <c r="AI98" s="104"/>
      <c r="AJ98" s="538"/>
      <c r="AK98" s="538"/>
      <c r="AL98" s="539"/>
      <c r="AM98" s="540"/>
      <c r="AN98" s="541"/>
      <c r="AO98" s="538"/>
      <c r="AP98" s="542">
        <f>MAX(AP73:AP97)</f>
        <v>0</v>
      </c>
      <c r="AQ98" s="542" t="s">
        <v>27</v>
      </c>
      <c r="AR98" s="538"/>
      <c r="AS98" s="538"/>
      <c r="AT98" s="538"/>
      <c r="AU98" s="538"/>
      <c r="AV98" s="543">
        <f>SUM(AV73:AV97)</f>
        <v>0</v>
      </c>
      <c r="AW98" s="538"/>
      <c r="AX98" s="538"/>
      <c r="AY98" s="544"/>
      <c r="AZ98" s="544"/>
      <c r="BA98" s="544"/>
      <c r="BB98" s="544"/>
      <c r="BC98" s="544"/>
      <c r="BD98" s="538"/>
      <c r="BE98" s="538"/>
      <c r="BF98" s="538"/>
      <c r="BG98" s="539"/>
      <c r="BH98" s="540"/>
      <c r="BI98" s="541"/>
      <c r="BJ98" s="538"/>
      <c r="BK98" s="542">
        <f>MAX(BK73:BK97)</f>
        <v>0</v>
      </c>
      <c r="BL98" s="538"/>
      <c r="BM98" s="538"/>
      <c r="BN98" s="538"/>
      <c r="BO98" s="538"/>
      <c r="BP98" s="538"/>
      <c r="BQ98" s="538"/>
      <c r="BR98" s="538"/>
      <c r="BS98" s="544"/>
      <c r="BT98" s="544"/>
      <c r="BU98" s="544"/>
      <c r="BV98" s="544"/>
      <c r="BW98" s="545">
        <f>SUM(IF(FREQUENCY(BW73:BW97,BW73:BW97)&gt;0,1))</f>
        <v>0</v>
      </c>
      <c r="BX98" s="545">
        <f>SUM(IF(FREQUENCY(BX73:BX97,BX73:BX97)&gt;0,1))</f>
        <v>0</v>
      </c>
      <c r="BY98" s="545">
        <f>SUM(IF(FREQUENCY(BY73:BY97,BY73:BY97)&gt;0,1))</f>
        <v>0</v>
      </c>
      <c r="BZ98" s="545">
        <f>SUM(IF(FREQUENCY(BZ73:BZ97,BZ73:BZ97)&gt;0,1))</f>
        <v>0</v>
      </c>
      <c r="CA98" s="546"/>
      <c r="CB98" s="547"/>
      <c r="CC98" s="625" t="str">
        <f>+IFERROR(((SUM(CC73:CC97))/$U98),"")</f>
        <v/>
      </c>
      <c r="CD98" s="548" t="str">
        <f>+IFERROR(((SUM(CD73:CD97))/$U98),"")</f>
        <v/>
      </c>
      <c r="CE98" s="548" t="str">
        <f>+IFERROR(((SUM(CE73:CE97))/$U98),"")</f>
        <v/>
      </c>
      <c r="CF98" s="549" t="str">
        <f>+IFERROR(((SUM(CF73:CF97))/$U98),"")</f>
        <v/>
      </c>
      <c r="CG98" s="550">
        <f>SUM(IF(FREQUENCY(BW73:BX97,BW73:BX97)&gt;0,1))</f>
        <v>0</v>
      </c>
      <c r="CH98" s="551">
        <f>SUM(IF(FREQUENCY(BY73:BZ97,BY73:BZ97)&gt;0,1))</f>
        <v>0</v>
      </c>
      <c r="CI98" s="552">
        <f>+SUM(CI73:CI97)</f>
        <v>0</v>
      </c>
    </row>
    <row r="99" spans="1:93" ht="32.25" customHeight="1" thickBot="1" x14ac:dyDescent="0.25">
      <c r="A99" s="219"/>
      <c r="B99" s="48"/>
      <c r="C99" s="219"/>
      <c r="D99" s="49"/>
      <c r="E99" s="49"/>
      <c r="F99" s="49"/>
      <c r="G99" s="49"/>
      <c r="H99" s="49"/>
      <c r="I99" s="49"/>
      <c r="J99" s="49"/>
      <c r="K99" s="49"/>
      <c r="L99" s="49"/>
      <c r="M99" s="49"/>
      <c r="N99" s="49"/>
      <c r="O99" s="49"/>
      <c r="P99" s="49"/>
      <c r="Q99" s="49"/>
      <c r="R99" s="49"/>
      <c r="S99" s="219"/>
      <c r="T99" s="219"/>
      <c r="U99" s="554"/>
      <c r="V99" s="554"/>
      <c r="W99" s="490"/>
      <c r="X99" s="490"/>
      <c r="Y99" s="490"/>
      <c r="Z99" s="490"/>
      <c r="AA99" s="490"/>
      <c r="AB99" s="490"/>
      <c r="AC99" s="490"/>
      <c r="AD99" s="490"/>
      <c r="AE99" s="490"/>
      <c r="AF99" s="491"/>
      <c r="AG99" s="491"/>
      <c r="AH99" s="491"/>
      <c r="AI99" s="104"/>
      <c r="AJ99" s="477"/>
      <c r="AK99" s="477"/>
      <c r="AL99" s="477"/>
      <c r="AM99" s="477"/>
      <c r="AN99" s="477"/>
      <c r="AO99" s="477"/>
      <c r="AP99" s="477"/>
      <c r="AQ99" s="477"/>
      <c r="AR99" s="477"/>
      <c r="AS99" s="477"/>
      <c r="AT99" s="477"/>
      <c r="AU99" s="477"/>
      <c r="AV99" s="477"/>
      <c r="AW99" s="477"/>
      <c r="AX99" s="477"/>
      <c r="AY99" s="563"/>
      <c r="AZ99" s="564"/>
      <c r="BA99" s="564"/>
      <c r="BB99" s="564"/>
      <c r="BC99" s="564"/>
      <c r="BD99" s="477"/>
      <c r="BE99" s="477"/>
      <c r="BF99" s="477"/>
      <c r="BG99" s="477"/>
      <c r="BH99" s="477"/>
      <c r="BI99" s="477"/>
      <c r="BJ99" s="477"/>
      <c r="BK99" s="477"/>
      <c r="BL99" s="477"/>
      <c r="BM99" s="477"/>
      <c r="BN99" s="477"/>
      <c r="BO99" s="477"/>
      <c r="BP99" s="477"/>
      <c r="BQ99" s="477"/>
      <c r="BR99" s="477"/>
      <c r="BS99" s="290"/>
      <c r="BT99" s="104"/>
      <c r="BU99" s="104"/>
      <c r="BV99" s="104"/>
      <c r="BW99" s="555"/>
      <c r="BX99" s="555"/>
      <c r="BY99" s="555"/>
      <c r="BZ99" s="555"/>
      <c r="CA99" s="473"/>
      <c r="CB99" s="492"/>
      <c r="CC99" s="1164" t="s">
        <v>393</v>
      </c>
      <c r="CD99" s="1165"/>
      <c r="CE99" s="1165"/>
      <c r="CF99" s="1166"/>
      <c r="CG99" s="1162" t="s">
        <v>560</v>
      </c>
      <c r="CH99" s="1163"/>
      <c r="CI99" s="556" t="s">
        <v>553</v>
      </c>
    </row>
    <row r="100" spans="1:93" s="121" customFormat="1" x14ac:dyDescent="0.2">
      <c r="A100" s="224" t="s">
        <v>400</v>
      </c>
      <c r="B100" s="119"/>
      <c r="C100" s="224"/>
      <c r="D100" s="120"/>
      <c r="E100" s="120"/>
      <c r="F100" s="120"/>
      <c r="G100" s="120"/>
      <c r="H100" s="120"/>
      <c r="I100" s="120"/>
      <c r="J100" s="120"/>
      <c r="K100" s="120"/>
      <c r="L100" s="113"/>
      <c r="M100" s="120"/>
      <c r="N100" s="120"/>
      <c r="O100" s="120"/>
      <c r="P100" s="113"/>
      <c r="Q100" s="120"/>
      <c r="R100" s="120"/>
      <c r="S100" s="224"/>
      <c r="T100" s="224"/>
      <c r="U100" s="557"/>
      <c r="V100" s="557"/>
      <c r="W100" s="558"/>
      <c r="X100" s="558"/>
      <c r="Y100" s="558"/>
      <c r="Z100" s="558"/>
      <c r="AA100" s="558"/>
      <c r="AB100" s="558"/>
      <c r="AC100" s="558"/>
      <c r="AD100" s="558"/>
      <c r="AE100" s="558"/>
      <c r="AF100" s="559"/>
      <c r="AG100" s="559"/>
      <c r="AH100" s="559"/>
      <c r="AI100" s="104"/>
      <c r="AJ100" s="559"/>
      <c r="AK100" s="559"/>
      <c r="AL100" s="559"/>
      <c r="AM100" s="559"/>
      <c r="AN100" s="559"/>
      <c r="AO100" s="559"/>
      <c r="AP100" s="559"/>
      <c r="AQ100" s="559"/>
      <c r="AR100" s="559"/>
      <c r="AS100" s="559"/>
      <c r="AT100" s="559"/>
      <c r="AU100" s="559"/>
      <c r="AV100" s="559"/>
      <c r="AW100" s="559"/>
      <c r="AX100" s="559"/>
      <c r="AY100" s="559"/>
      <c r="AZ100" s="559"/>
      <c r="BA100" s="559"/>
      <c r="BB100" s="559"/>
      <c r="BC100" s="559"/>
      <c r="BD100" s="559"/>
      <c r="BE100" s="559"/>
      <c r="BF100" s="559"/>
      <c r="BG100" s="559"/>
      <c r="BH100" s="559"/>
      <c r="BI100" s="559"/>
      <c r="BJ100" s="559"/>
      <c r="BK100" s="559"/>
      <c r="BL100" s="559"/>
      <c r="BM100" s="559"/>
      <c r="BN100" s="559"/>
      <c r="BO100" s="559"/>
      <c r="BP100" s="559"/>
      <c r="BQ100" s="559"/>
      <c r="BR100" s="559"/>
      <c r="BS100" s="559"/>
      <c r="BT100" s="559"/>
      <c r="BU100" s="559"/>
      <c r="BV100" s="559"/>
      <c r="BW100" s="475"/>
      <c r="BX100" s="475"/>
      <c r="BY100" s="475"/>
      <c r="BZ100" s="475"/>
      <c r="CA100" s="475"/>
      <c r="CB100" s="475"/>
      <c r="CC100" s="626"/>
      <c r="CD100" s="560"/>
      <c r="CE100" s="560"/>
      <c r="CF100" s="560"/>
      <c r="CG100" s="560"/>
      <c r="CH100" s="560"/>
      <c r="CI100" s="560"/>
      <c r="CJ100" s="560"/>
      <c r="CK100" s="560"/>
      <c r="CL100" s="560"/>
      <c r="CM100" s="560"/>
      <c r="CN100" s="560"/>
      <c r="CO100" s="561"/>
    </row>
    <row r="101" spans="1:93" s="183" customFormat="1" ht="98.25" customHeight="1" x14ac:dyDescent="0.2">
      <c r="A101" s="228" t="s">
        <v>73</v>
      </c>
      <c r="B101" s="184" t="s">
        <v>421</v>
      </c>
      <c r="C101" s="293" t="s">
        <v>114</v>
      </c>
      <c r="D101" s="173" t="s">
        <v>53</v>
      </c>
      <c r="E101" s="173" t="s">
        <v>499</v>
      </c>
      <c r="F101" s="173" t="s">
        <v>394</v>
      </c>
      <c r="G101" s="173" t="s">
        <v>242</v>
      </c>
      <c r="H101" s="173" t="s">
        <v>563</v>
      </c>
      <c r="I101" s="173" t="s">
        <v>236</v>
      </c>
      <c r="J101" s="173" t="s">
        <v>240</v>
      </c>
      <c r="K101" s="173" t="s">
        <v>238</v>
      </c>
      <c r="L101" s="173" t="s">
        <v>554</v>
      </c>
      <c r="M101" s="173" t="s">
        <v>241</v>
      </c>
      <c r="N101" s="173" t="s">
        <v>237</v>
      </c>
      <c r="O101" s="173" t="s">
        <v>243</v>
      </c>
      <c r="P101" s="173" t="s">
        <v>239</v>
      </c>
      <c r="Q101" s="173" t="s">
        <v>555</v>
      </c>
      <c r="R101" s="173" t="s">
        <v>244</v>
      </c>
      <c r="S101" s="220" t="s">
        <v>245</v>
      </c>
      <c r="T101" s="220" t="s">
        <v>256</v>
      </c>
      <c r="U101" s="500" t="s">
        <v>53</v>
      </c>
      <c r="V101" s="500" t="s">
        <v>396</v>
      </c>
      <c r="W101" s="501" t="s">
        <v>508</v>
      </c>
      <c r="X101" s="501" t="s">
        <v>509</v>
      </c>
      <c r="Y101" s="501" t="s">
        <v>510</v>
      </c>
      <c r="Z101" s="501" t="s">
        <v>512</v>
      </c>
      <c r="AA101" s="501" t="s">
        <v>513</v>
      </c>
      <c r="AB101" s="501" t="s">
        <v>514</v>
      </c>
      <c r="AC101" s="501" t="s">
        <v>506</v>
      </c>
      <c r="AD101" s="501" t="s">
        <v>507</v>
      </c>
      <c r="AE101" s="501" t="s">
        <v>511</v>
      </c>
      <c r="AF101" s="501" t="s">
        <v>503</v>
      </c>
      <c r="AG101" s="501" t="s">
        <v>504</v>
      </c>
      <c r="AH101" s="501" t="s">
        <v>505</v>
      </c>
      <c r="AI101" s="502"/>
      <c r="AJ101" s="502" t="s">
        <v>246</v>
      </c>
      <c r="AK101" s="502" t="s">
        <v>247</v>
      </c>
      <c r="AL101" s="503" t="s">
        <v>248</v>
      </c>
      <c r="AM101" s="503" t="s">
        <v>249</v>
      </c>
      <c r="AN101" s="504" t="s">
        <v>250</v>
      </c>
      <c r="AO101" s="502" t="s">
        <v>270</v>
      </c>
      <c r="AP101" s="502" t="s">
        <v>271</v>
      </c>
      <c r="AQ101" s="503" t="s">
        <v>251</v>
      </c>
      <c r="AR101" s="503" t="s">
        <v>14</v>
      </c>
      <c r="AS101" s="503" t="s">
        <v>252</v>
      </c>
      <c r="AT101" s="503" t="s">
        <v>253</v>
      </c>
      <c r="AU101" s="503" t="s">
        <v>579</v>
      </c>
      <c r="AV101" s="503" t="s">
        <v>578</v>
      </c>
      <c r="AW101" s="503" t="s">
        <v>254</v>
      </c>
      <c r="AX101" s="503" t="s">
        <v>255</v>
      </c>
      <c r="AY101" s="503" t="s">
        <v>391</v>
      </c>
      <c r="AZ101" s="503" t="s">
        <v>267</v>
      </c>
      <c r="BA101" s="503" t="s">
        <v>272</v>
      </c>
      <c r="BB101" s="503" t="s">
        <v>273</v>
      </c>
      <c r="BC101" s="502" t="s">
        <v>539</v>
      </c>
      <c r="BD101" s="503"/>
      <c r="BE101" s="502" t="s">
        <v>257</v>
      </c>
      <c r="BF101" s="502" t="s">
        <v>258</v>
      </c>
      <c r="BG101" s="503" t="s">
        <v>259</v>
      </c>
      <c r="BH101" s="503" t="s">
        <v>260</v>
      </c>
      <c r="BI101" s="504" t="s">
        <v>261</v>
      </c>
      <c r="BJ101" s="502" t="s">
        <v>275</v>
      </c>
      <c r="BK101" s="502" t="s">
        <v>274</v>
      </c>
      <c r="BL101" s="503" t="s">
        <v>262</v>
      </c>
      <c r="BM101" s="503" t="s">
        <v>14</v>
      </c>
      <c r="BN101" s="503" t="s">
        <v>263</v>
      </c>
      <c r="BO101" s="503" t="s">
        <v>264</v>
      </c>
      <c r="BP101" s="503" t="s">
        <v>542</v>
      </c>
      <c r="BQ101" s="503" t="s">
        <v>265</v>
      </c>
      <c r="BR101" s="503" t="s">
        <v>266</v>
      </c>
      <c r="BS101" s="503" t="s">
        <v>392</v>
      </c>
      <c r="BT101" s="503" t="s">
        <v>276</v>
      </c>
      <c r="BU101" s="503" t="s">
        <v>277</v>
      </c>
      <c r="BV101" s="503" t="s">
        <v>278</v>
      </c>
      <c r="BW101" s="503" t="s">
        <v>556</v>
      </c>
      <c r="BX101" s="503" t="s">
        <v>559</v>
      </c>
      <c r="BY101" s="503" t="s">
        <v>557</v>
      </c>
      <c r="BZ101" s="503" t="s">
        <v>558</v>
      </c>
      <c r="CA101" s="505" t="s">
        <v>543</v>
      </c>
      <c r="CB101" s="506"/>
      <c r="CC101" s="622" t="s">
        <v>279</v>
      </c>
      <c r="CD101" s="506" t="s">
        <v>280</v>
      </c>
      <c r="CE101" s="506" t="s">
        <v>281</v>
      </c>
      <c r="CF101" s="506" t="s">
        <v>282</v>
      </c>
      <c r="CG101" s="506" t="s">
        <v>283</v>
      </c>
      <c r="CH101" s="506" t="s">
        <v>284</v>
      </c>
      <c r="CI101" s="506" t="s">
        <v>545</v>
      </c>
      <c r="CJ101" s="507"/>
      <c r="CK101" s="507"/>
      <c r="CL101" s="506" t="s">
        <v>422</v>
      </c>
      <c r="CM101" s="506" t="s">
        <v>516</v>
      </c>
      <c r="CN101" s="506" t="s">
        <v>423</v>
      </c>
      <c r="CO101" s="508" t="s">
        <v>517</v>
      </c>
    </row>
    <row r="102" spans="1:93" s="16" customFormat="1" ht="27" customHeight="1" x14ac:dyDescent="0.2">
      <c r="A102" s="229" t="s">
        <v>5</v>
      </c>
      <c r="B102" s="185" t="s">
        <v>28</v>
      </c>
      <c r="C102" s="294" t="s">
        <v>5</v>
      </c>
      <c r="D102" s="174" t="s">
        <v>119</v>
      </c>
      <c r="E102" s="174" t="s">
        <v>498</v>
      </c>
      <c r="F102" s="174" t="s">
        <v>268</v>
      </c>
      <c r="G102" s="174" t="s">
        <v>60</v>
      </c>
      <c r="H102" s="174"/>
      <c r="I102" s="174" t="s">
        <v>28</v>
      </c>
      <c r="J102" s="174" t="s">
        <v>15</v>
      </c>
      <c r="K102" s="174" t="s">
        <v>269</v>
      </c>
      <c r="L102" s="174" t="s">
        <v>61</v>
      </c>
      <c r="M102" s="174" t="s">
        <v>5</v>
      </c>
      <c r="N102" s="174" t="s">
        <v>28</v>
      </c>
      <c r="O102" s="174" t="s">
        <v>15</v>
      </c>
      <c r="P102" s="174" t="s">
        <v>269</v>
      </c>
      <c r="Q102" s="174" t="s">
        <v>61</v>
      </c>
      <c r="R102" s="174" t="s">
        <v>5</v>
      </c>
      <c r="S102" s="221" t="s">
        <v>16</v>
      </c>
      <c r="T102" s="221" t="s">
        <v>16</v>
      </c>
      <c r="U102" s="509" t="s">
        <v>59</v>
      </c>
      <c r="V102" s="509" t="s">
        <v>5</v>
      </c>
      <c r="W102" s="510" t="s">
        <v>60</v>
      </c>
      <c r="X102" s="510" t="s">
        <v>60</v>
      </c>
      <c r="Y102" s="510" t="s">
        <v>60</v>
      </c>
      <c r="Z102" s="511" t="s">
        <v>60</v>
      </c>
      <c r="AA102" s="511" t="s">
        <v>60</v>
      </c>
      <c r="AB102" s="511" t="s">
        <v>60</v>
      </c>
      <c r="AC102" s="510" t="s">
        <v>60</v>
      </c>
      <c r="AD102" s="510" t="s">
        <v>60</v>
      </c>
      <c r="AE102" s="510"/>
      <c r="AF102" s="511" t="s">
        <v>60</v>
      </c>
      <c r="AG102" s="511" t="s">
        <v>60</v>
      </c>
      <c r="AH102" s="511" t="s">
        <v>60</v>
      </c>
      <c r="AI102" s="512"/>
      <c r="AJ102" s="512" t="s">
        <v>17</v>
      </c>
      <c r="AK102" s="512" t="s">
        <v>18</v>
      </c>
      <c r="AL102" s="513" t="s">
        <v>51</v>
      </c>
      <c r="AM102" s="514" t="s">
        <v>60</v>
      </c>
      <c r="AN102" s="515" t="s">
        <v>52</v>
      </c>
      <c r="AO102" s="516" t="s">
        <v>18</v>
      </c>
      <c r="AP102" s="516" t="s">
        <v>18</v>
      </c>
      <c r="AQ102" s="517" t="s">
        <v>60</v>
      </c>
      <c r="AR102" s="517" t="s">
        <v>18</v>
      </c>
      <c r="AS102" s="517" t="s">
        <v>18</v>
      </c>
      <c r="AT102" s="517" t="s">
        <v>17</v>
      </c>
      <c r="AU102" s="517" t="s">
        <v>538</v>
      </c>
      <c r="AV102" s="517" t="s">
        <v>59</v>
      </c>
      <c r="AW102" s="517" t="s">
        <v>18</v>
      </c>
      <c r="AX102" s="517" t="s">
        <v>59</v>
      </c>
      <c r="AY102" s="517" t="s">
        <v>59</v>
      </c>
      <c r="AZ102" s="517" t="s">
        <v>59</v>
      </c>
      <c r="BA102" s="517" t="s">
        <v>59</v>
      </c>
      <c r="BB102" s="517" t="s">
        <v>59</v>
      </c>
      <c r="BC102" s="512" t="s">
        <v>59</v>
      </c>
      <c r="BD102" s="518"/>
      <c r="BE102" s="512" t="s">
        <v>17</v>
      </c>
      <c r="BF102" s="512" t="s">
        <v>18</v>
      </c>
      <c r="BG102" s="513" t="s">
        <v>51</v>
      </c>
      <c r="BH102" s="514" t="s">
        <v>60</v>
      </c>
      <c r="BI102" s="515" t="s">
        <v>52</v>
      </c>
      <c r="BJ102" s="516" t="s">
        <v>18</v>
      </c>
      <c r="BK102" s="516" t="s">
        <v>18</v>
      </c>
      <c r="BL102" s="517" t="s">
        <v>60</v>
      </c>
      <c r="BM102" s="517" t="s">
        <v>18</v>
      </c>
      <c r="BN102" s="517" t="s">
        <v>18</v>
      </c>
      <c r="BO102" s="517" t="s">
        <v>17</v>
      </c>
      <c r="BP102" s="517" t="s">
        <v>538</v>
      </c>
      <c r="BQ102" s="517" t="s">
        <v>18</v>
      </c>
      <c r="BR102" s="517" t="s">
        <v>59</v>
      </c>
      <c r="BS102" s="517" t="s">
        <v>59</v>
      </c>
      <c r="BT102" s="517" t="s">
        <v>59</v>
      </c>
      <c r="BU102" s="517" t="s">
        <v>59</v>
      </c>
      <c r="BV102" s="517" t="s">
        <v>59</v>
      </c>
      <c r="BW102" s="519" t="s">
        <v>386</v>
      </c>
      <c r="BX102" s="519" t="s">
        <v>386</v>
      </c>
      <c r="BY102" s="519" t="s">
        <v>387</v>
      </c>
      <c r="BZ102" s="519" t="s">
        <v>387</v>
      </c>
      <c r="CA102" s="519" t="s">
        <v>59</v>
      </c>
      <c r="CB102" s="520"/>
      <c r="CC102" s="623" t="s">
        <v>59</v>
      </c>
      <c r="CD102" s="520" t="s">
        <v>59</v>
      </c>
      <c r="CE102" s="520" t="s">
        <v>59</v>
      </c>
      <c r="CF102" s="520" t="s">
        <v>59</v>
      </c>
      <c r="CG102" s="520" t="s">
        <v>386</v>
      </c>
      <c r="CH102" s="520" t="s">
        <v>387</v>
      </c>
      <c r="CI102" s="520" t="s">
        <v>59</v>
      </c>
      <c r="CJ102" s="521"/>
      <c r="CK102" s="521"/>
      <c r="CL102" s="520" t="s">
        <v>28</v>
      </c>
      <c r="CM102" s="520" t="s">
        <v>59</v>
      </c>
      <c r="CN102" s="520" t="s">
        <v>28</v>
      </c>
      <c r="CO102" s="522" t="s">
        <v>59</v>
      </c>
    </row>
    <row r="103" spans="1:93" x14ac:dyDescent="0.2">
      <c r="A103" s="230"/>
      <c r="B103" s="164"/>
      <c r="C103" s="230"/>
      <c r="D103" s="169"/>
      <c r="E103" s="165"/>
      <c r="F103" s="165"/>
      <c r="G103" s="165"/>
      <c r="H103" s="165"/>
      <c r="I103" s="166"/>
      <c r="J103" s="167"/>
      <c r="K103" s="166"/>
      <c r="L103" s="166"/>
      <c r="M103" s="167"/>
      <c r="N103" s="166"/>
      <c r="O103" s="166"/>
      <c r="P103" s="166"/>
      <c r="Q103" s="167"/>
      <c r="R103" s="167"/>
      <c r="S103" s="222" t="str">
        <f>IF(ISBLANK(A103),"",IF(ISNA(VLOOKUP(I103,Veg_Parameters!$A$3:$N$65,3,FALSE)),0,(VLOOKUP(I103,Veg_Parameters!$A$3:$N$65,3,FALSE))))</f>
        <v/>
      </c>
      <c r="T103" s="222" t="str">
        <f>IF(ISBLANK(N103),"",IF(ISNA(VLOOKUP(N103,Veg_Parameters!$A$3:$N$65,3,FALSE)),0,(VLOOKUP(N103,Veg_Parameters!$A$3:$N$65,3,FALSE))))</f>
        <v/>
      </c>
      <c r="U103" s="523">
        <f>IF(ISBLANK(A103),0,0.092903*D103)</f>
        <v>0</v>
      </c>
      <c r="V103" s="523">
        <f t="shared" ref="V103:V127" si="151">IF(ISBLANK(A103),0, IF(F103="H", 5, IF(F103="M", 3, IF(F103="L", 1.5, 0))))</f>
        <v>0</v>
      </c>
      <c r="W103" s="524">
        <f>IF(ISBLANK(A103),0,IF(ISNA(VLOOKUP($I103,Veg_Parameters!$A$3:$N$65,10,FALSE)),0,(VLOOKUP($I103,Veg_Parameters!$A$3:$N$65,10,FALSE))))</f>
        <v>0</v>
      </c>
      <c r="X103" s="524">
        <f>IF(ISBLANK(A103),0,IF(ISNA(VLOOKUP($I103,Veg_Parameters!$A$3:$N$65,11,FALSE)),0,(VLOOKUP($I103,Veg_Parameters!$A$3:$N$65,11,FALSE))))</f>
        <v>0</v>
      </c>
      <c r="Y103" s="524">
        <f>IF(ISBLANK(A103),0,IF(ISNA(VLOOKUP($I103,Veg_Parameters!$A$3:$N$65,12,FALSE)),0,(VLOOKUP($I103,Veg_Parameters!$A$3:$N$65,12,FALSE))))</f>
        <v>0</v>
      </c>
      <c r="Z103" s="525">
        <f t="shared" ref="Z103:Z127" si="152">IF($E103="C",$W103,IF($E103="F",$X103,IF($E103="M",1,0)))</f>
        <v>0</v>
      </c>
      <c r="AA103" s="525">
        <f t="shared" ref="AA103:AA127" si="153">IF(ISBLANK(E103), 0, IF($O$9="L", $Y103, IF($O$9 = "H", 1, IF($O$9="M", 0.8, " "))))</f>
        <v>0</v>
      </c>
      <c r="AB103" s="525">
        <f t="shared" ref="AB103:AB127" si="154">IF(I103&gt;0, Z103*AA103, 0)</f>
        <v>0</v>
      </c>
      <c r="AC103" s="524">
        <f>IF(ISBLANK(N103),0,IF(ISNA(VLOOKUP($N103,Veg_Parameters!$A$3:$N$65,10,FALSE)),0,(VLOOKUP($N103,Veg_Parameters!$A$3:$N$65,10,FALSE))))</f>
        <v>0</v>
      </c>
      <c r="AD103" s="524">
        <f>IF(ISBLANK(N103),0,IF(ISNA(VLOOKUP($N103,Veg_Parameters!$A$3:$N$65,11,FALSE)),0,(VLOOKUP($N103,Veg_Parameters!$A$3:$N$65,11,FALSE))))</f>
        <v>0</v>
      </c>
      <c r="AE103" s="524">
        <f>IF(ISBLANK(N103), 0, IF(ISNA(VLOOKUP($N103,Veg_Parameters!$A$3:$N$65,12,FALSE)),0,(VLOOKUP($N103,Veg_Parameters!$A$3:$N$65,12,FALSE))))</f>
        <v>0</v>
      </c>
      <c r="AF103" s="523">
        <f t="shared" ref="AF103:AF127" si="155">IF(N103="", 0,IF($E103="C",W103,IF($E103="F",X103,IF($E103="M",1," "))))</f>
        <v>0</v>
      </c>
      <c r="AG103" s="523">
        <f t="shared" ref="AG103:AG127" si="156">IF(N103="", 0,IF($O$9="L", $AE103, IF($O$9 = "H", 1, IF($O$9="M", 0.8, ""))))</f>
        <v>0</v>
      </c>
      <c r="AH103" s="523">
        <f t="shared" ref="AH103:AH127" si="157">IF(N103&gt;0, AF103*AG103, 0)</f>
        <v>0</v>
      </c>
      <c r="AI103" s="526"/>
      <c r="AJ103" s="527">
        <f>AB103*(IF(ISNA(VLOOKUP($I103,Veg_Parameters!$A$3:$N$65,5,FALSE)),0,(VLOOKUP($I103,Veg_Parameters!$A$3:$N$65,5,FALSE))))</f>
        <v>0</v>
      </c>
      <c r="AK103" s="527">
        <f>IF(ISNA(VLOOKUP($I103,Veg_Parameters!$A$3:$N$65,4,FALSE)),0,(VLOOKUP($I103,Veg_Parameters!$A$3:$N$65,4,FALSE)))</f>
        <v>0</v>
      </c>
      <c r="AL103" s="527">
        <f>AB103*(IF(ISNA(VLOOKUP($I103,Veg_Parameters!$A$3:$N$65,7,FALSE)),0, (VLOOKUP($I103,Veg_Parameters!$A$3:$N$65,7,FALSE))))</f>
        <v>0</v>
      </c>
      <c r="AM103" s="528">
        <f>IF(ISNA(VLOOKUP($I103,Veg_Parameters!$A$3:$N$65,6,FALSE)), 0, (VLOOKUP($I103,Veg_Parameters!$A$3:$N$65,6,FALSE)))</f>
        <v>0</v>
      </c>
      <c r="AN103" s="529">
        <f t="shared" ref="AN103:AN127" si="158">IF($O$7=1,J103+$O$8,J103)</f>
        <v>20</v>
      </c>
      <c r="AO103" s="529">
        <f t="shared" ref="AO103:AO127" si="159">IF(AJ103&gt;0, AK103*(1-EXP(-AJ103*AN103/AK103)), 0)</f>
        <v>0</v>
      </c>
      <c r="AP103" s="529">
        <f t="shared" ref="AP103:AP127" si="160">IF(K103&gt;0, K103*0.3048, AO103)</f>
        <v>0</v>
      </c>
      <c r="AQ103" s="530">
        <f>IF(AL103&gt;0, AM103*(1-EXP(-AL103*AN103/AM103)), 0)</f>
        <v>0</v>
      </c>
      <c r="AR103" s="527" t="s">
        <v>3</v>
      </c>
      <c r="AS103" s="527">
        <f>IF(ISNA(VLOOKUP($I103,Veg_Parameters!$A$3:$N$65,8,FALSE)), 0, (VLOOKUP($I103,Veg_Parameters!$A$3:$N$65,8,FALSE)))</f>
        <v>0</v>
      </c>
      <c r="AT103" s="527">
        <f>AB103*(IF(ISNA(VLOOKUP($I103,Veg_Parameters!$A$3:$N$65,9,FALSE)), 0, (VLOOKUP($I103,Veg_Parameters!$A$3:$N$65,9,FALSE))))</f>
        <v>0</v>
      </c>
      <c r="AU103" s="527">
        <f>IF(ISBLANK(A103),0,VLOOKUP($I103,Veg_Parameters!$A$4:$U$65,21,))</f>
        <v>0</v>
      </c>
      <c r="AV103" s="527">
        <f>IF(OR(I103=3500,I103=3600),U103,0)</f>
        <v>0</v>
      </c>
      <c r="AW103" s="529">
        <f>IF(AT103&gt;0, AS103*(1-EXP(-AT103*AN103/AS103)),0)</f>
        <v>0</v>
      </c>
      <c r="AX103" s="529">
        <f>PI()*(0.5*AW103)^2</f>
        <v>0</v>
      </c>
      <c r="AY103" s="529">
        <f t="shared" ref="AY103:AY127" si="161">IF(AX103*L103*($D103/1000)&lt;$U103, AX103*L103*($D103/1000), $U103)</f>
        <v>0</v>
      </c>
      <c r="AZ103" s="529">
        <f>+IF(AP103&gt;4.6,AY103,0)</f>
        <v>0</v>
      </c>
      <c r="BA103" s="529">
        <f>IF(AND(AP103&gt;0.9,AP103&lt;4.6),AY103,IF(AP103&gt;4.6,0.5*AY103,0))</f>
        <v>0</v>
      </c>
      <c r="BB103" s="529">
        <f>IF(AND(AP103&gt;0,AP103&lt;0.9),AY103,IF(AND(AP103&gt;0.9,AP103&lt;4.6),AY103*0.5,IF(AP103&gt;4.6,AY103*0.25,0)))</f>
        <v>0</v>
      </c>
      <c r="BC103" s="529">
        <f t="shared" ref="BC103:BC127" si="162">IF(ISBLANK(A103),0,(AY103*AU103))</f>
        <v>0</v>
      </c>
      <c r="BD103" s="531"/>
      <c r="BE103" s="527">
        <f>AH103*(IF(ISNA(VLOOKUP($N103,Veg_Parameters!$A$3:$N$65,5,FALSE)),0,(VLOOKUP($N103,Veg_Parameters!$A$3:$N$65,5,FALSE))))</f>
        <v>0</v>
      </c>
      <c r="BF103" s="527">
        <f>IF(ISNA(VLOOKUP($N103,Veg_Parameters!$A$3:$N$65,4,FALSE)),0,(VLOOKUP($N103,Veg_Parameters!$A$3:$N$65,4,FALSE)))</f>
        <v>0</v>
      </c>
      <c r="BG103" s="527">
        <f>AH103*(IF(ISNA(VLOOKUP($N103,Veg_Parameters!$A$3:$N$65,7,FALSE)),0, (VLOOKUP($N103,Veg_Parameters!$A$3:$N$65,7,FALSE))))</f>
        <v>0</v>
      </c>
      <c r="BH103" s="527">
        <f>IF(ISNA(VLOOKUP($N103,Veg_Parameters!$A$3:$N$65,6,FALSE)), 0, (VLOOKUP($N103,Veg_Parameters!$A$3:$N$65,6,FALSE)))</f>
        <v>0</v>
      </c>
      <c r="BI103" s="529">
        <f t="shared" ref="BI103:BI127" si="163">IF($O$7=1,O103+$O$8,O103)</f>
        <v>20</v>
      </c>
      <c r="BJ103" s="529">
        <f>IF(BE103&gt;0, BF103*(1-EXP(-BE103*BI103/BF103)), 0)</f>
        <v>0</v>
      </c>
      <c r="BK103" s="529">
        <f t="shared" ref="BK103:BK127" si="164">IF(P103&gt;0, P103*0.3048, BJ103)</f>
        <v>0</v>
      </c>
      <c r="BL103" s="530">
        <f>IF(BG103&gt;0, BH103*(1-EXP(-BG103*BI103/BH103)), 0)</f>
        <v>0</v>
      </c>
      <c r="BM103" s="527" t="s">
        <v>3</v>
      </c>
      <c r="BN103" s="527">
        <f>IF(ISNA(VLOOKUP(N103,Veg_Parameters!$A$3:$N$65,8,FALSE)), 0, (VLOOKUP($N103,Veg_Parameters!$A$3:$N$65,8,FALSE)))</f>
        <v>0</v>
      </c>
      <c r="BO103" s="527">
        <f>AH103*(IF(ISNA(VLOOKUP($N103,Veg_Parameters!$A$3:$N$65,9,FALSE)), 0, (VLOOKUP($N103,Veg_Parameters!$A$3:$N$65,9,FALSE))))</f>
        <v>0</v>
      </c>
      <c r="BP103" s="527" t="str">
        <f>IF(ISBLANK(N103),"0",VLOOKUP($N103,Veg_Parameters!$A$4:$U$65,21,))</f>
        <v>0</v>
      </c>
      <c r="BQ103" s="529">
        <f>IF(BO103&gt;0, BN103*(1-EXP(-BO103*BI103/BN103)),0)</f>
        <v>0</v>
      </c>
      <c r="BR103" s="529">
        <f>PI()*(0.5*BQ103)^2</f>
        <v>0</v>
      </c>
      <c r="BS103" s="529">
        <f t="shared" ref="BS103:BS127" si="165">IF(BR103*Q103*($D103/1000)&lt;$U103, BR103*Q103*($D103/1000), $U103)</f>
        <v>0</v>
      </c>
      <c r="BT103" s="529">
        <f>+IF(BK103&gt;4.6,BS103,0)</f>
        <v>0</v>
      </c>
      <c r="BU103" s="529">
        <f>IF(AND(BK103&lt;4.6,BK103&gt;0.9),BS103,IF(BK103&gt;4.6,(0.5*BS103),0))</f>
        <v>0</v>
      </c>
      <c r="BV103" s="529">
        <f>IF(AND(BK103&gt;0,BK103&lt;0.9),BS103,IF(AND(BK103&gt;0.9,BK103&lt;4.6),BS103*0.5,IF(BK103&gt;4.6,(BS103*0.25),0)))</f>
        <v>0</v>
      </c>
      <c r="BW103" s="532" t="str">
        <f t="shared" ref="BW103:BW127" si="166">IF(AP103&gt;4.57,I103,"")</f>
        <v/>
      </c>
      <c r="BX103" s="532" t="str">
        <f t="shared" ref="BX103:BX127" si="167">IF(BK103&gt;4.57,N103,"")</f>
        <v/>
      </c>
      <c r="BY103" s="532" t="str">
        <f t="shared" ref="BY103:BY127" si="168">IF((AND(AP103&gt;0.76,AP103&lt;4.6)),I103,"")</f>
        <v/>
      </c>
      <c r="BZ103" s="532" t="str">
        <f t="shared" ref="BZ103:BZ127" si="169">IF((AND(BK103&gt;0.76,BK103&lt;4.6)),N103,"")</f>
        <v/>
      </c>
      <c r="CA103" s="532">
        <f t="shared" ref="CA103:CA127" si="170">IF(ISBLANK(N103),0,(BS103*BP103))</f>
        <v>0</v>
      </c>
      <c r="CB103" s="533"/>
      <c r="CC103" s="624">
        <f t="shared" ref="CC103:CC127" si="171">IF(ISERROR(IF((AY103+BS103)&lt;$U103,(AY103*AQ103+BS103*BL103),(((AQ103*AY103+BL103*BS103)/(AY103+BS103))*$U103))),0,IF((AY103+BS103)&lt;$U103,(AY103*AQ103+BS103*BL103),(((AQ103*AY103+BL103*BS103)/(AY103+BS103))*$U103)))</f>
        <v>0</v>
      </c>
      <c r="CD103" s="534">
        <f t="shared" ref="CD103:CD127" si="172">IF(ISERROR(IF((AZ103+BT103)&lt;$U103,(AQ103*AZ103+BT103*BL103),(((AQ103*AZ103+BL103*BT103)/(AZ103+BT103))*$U103))),0,IF((AZ103+BT103)&lt;$U103,(AQ103*AZ103+BT103*BL103),(((AQ103*AZ103+BL103*BT103)/(AZ103+BT103))*$U103)))</f>
        <v>0</v>
      </c>
      <c r="CE103" s="534">
        <f t="shared" ref="CE103:CE127" si="173">IF(ISERROR(IF((BA103+BU103)&lt;$U103,(AQ103*BA103+BL103*BU103),(((AQ103*BA103+BL103*BU103)/(BA103+BU103))*$U103))),0,IF((BA103+BU103)&lt;$U103,(AQ103*BA103+BL103*BU103),(((AQ103*BA103+BL103*BU103)/(BA103+BU103))*$U103)))</f>
        <v>0</v>
      </c>
      <c r="CF103" s="534">
        <f t="shared" ref="CF103:CF127" si="174">+IF(ISBLANK(A103),0,IF((BB103+BV103+(G103/100)*U103)&gt;U103,U103,(BB103+BV103+(G103/100)*U103)))</f>
        <v>0</v>
      </c>
      <c r="CG103" s="534"/>
      <c r="CH103" s="534"/>
      <c r="CI103" s="534">
        <f>BC103+CA103</f>
        <v>0</v>
      </c>
      <c r="CL103" s="534">
        <f>IF(ISNA(VLOOKUP(I103,Veg_Parameters!$A$3:$N$65,13,FALSE)),0,(VLOOKUP(I103,Veg_Parameters!$A$3:$N$65,13,FALSE)))</f>
        <v>0</v>
      </c>
      <c r="CM103" s="534">
        <f>+IF(ISBLANK(A103),0,IF(CL103="H",BB103,0))</f>
        <v>0</v>
      </c>
      <c r="CN103" s="534">
        <f>IF(ISNA(VLOOKUP(N103,Veg_Parameters!$A$3:$N$65,13,FALSE)),0,(VLOOKUP(N103,Veg_Parameters!$A$3:$N$65,13,FALSE)))</f>
        <v>0</v>
      </c>
      <c r="CO103" s="523">
        <f>+IF(ISBLANK(A103),0, IF(CN103="H", BV103, 0))</f>
        <v>0</v>
      </c>
    </row>
    <row r="104" spans="1:93" x14ac:dyDescent="0.2">
      <c r="A104" s="230"/>
      <c r="B104" s="171" t="str">
        <f>IF(ISBLANK(A104),"",$B$103)</f>
        <v/>
      </c>
      <c r="C104" s="230"/>
      <c r="D104" s="169"/>
      <c r="E104" s="165"/>
      <c r="F104" s="165"/>
      <c r="G104" s="165"/>
      <c r="H104" s="165"/>
      <c r="I104" s="166"/>
      <c r="J104" s="167"/>
      <c r="K104" s="166"/>
      <c r="L104" s="166"/>
      <c r="M104" s="167"/>
      <c r="N104" s="166"/>
      <c r="O104" s="166"/>
      <c r="P104" s="167"/>
      <c r="Q104" s="167"/>
      <c r="R104" s="167"/>
      <c r="S104" s="222" t="str">
        <f>IF(ISBLANK(A104),"",IF(ISNA(VLOOKUP(I104,Veg_Parameters!$A$3:$N$65,3,FALSE)),0,(VLOOKUP(I104,Veg_Parameters!$A$3:$N$65,3,FALSE))))</f>
        <v/>
      </c>
      <c r="T104" s="222" t="str">
        <f>IF(ISBLANK(N104),"",IF(ISNA(VLOOKUP(N104,Veg_Parameters!$A$3:$N$65,3,FALSE)),0,(VLOOKUP(N104,Veg_Parameters!$A$3:$N$65,3,FALSE))))</f>
        <v/>
      </c>
      <c r="U104" s="523">
        <f t="shared" ref="U104:U127" si="175">IF(ISBLANK(A104),0,0.092903*D104)</f>
        <v>0</v>
      </c>
      <c r="V104" s="523">
        <f t="shared" si="151"/>
        <v>0</v>
      </c>
      <c r="W104" s="524">
        <f>IF(ISBLANK(A104),0,IF(ISNA(VLOOKUP($I104,Veg_Parameters!$A$3:$N$65,10,FALSE)),0,(VLOOKUP($I104,Veg_Parameters!$A$3:$N$65,10,FALSE))))</f>
        <v>0</v>
      </c>
      <c r="X104" s="524">
        <f>IF(ISBLANK(A104),0,IF(ISNA(VLOOKUP($I104,Veg_Parameters!$A$3:$N$65,11,FALSE)),0,(VLOOKUP($I104,Veg_Parameters!$A$3:$N$65,11,FALSE))))</f>
        <v>0</v>
      </c>
      <c r="Y104" s="524">
        <f>IF(ISBLANK(A104),0,IF(ISNA(VLOOKUP($I104,Veg_Parameters!$A$3:$N$65,12,FALSE)),0,(VLOOKUP($I104,Veg_Parameters!$A$3:$N$65,12,FALSE))))</f>
        <v>0</v>
      </c>
      <c r="Z104" s="525">
        <f t="shared" si="152"/>
        <v>0</v>
      </c>
      <c r="AA104" s="525">
        <f t="shared" si="153"/>
        <v>0</v>
      </c>
      <c r="AB104" s="525">
        <f t="shared" si="154"/>
        <v>0</v>
      </c>
      <c r="AC104" s="524">
        <f>IF(ISBLANK(N104),0,IF(ISNA(VLOOKUP($N104,Veg_Parameters!$A$3:$N$65,10,FALSE)),0,(VLOOKUP($N104,Veg_Parameters!$A$3:$N$65,10,FALSE))))</f>
        <v>0</v>
      </c>
      <c r="AD104" s="524">
        <f>IF(ISBLANK(N104),0,IF(ISNA(VLOOKUP($N104,Veg_Parameters!$A$3:$N$65,11,FALSE)),0,(VLOOKUP($N104,Veg_Parameters!$A$3:$N$65,11,FALSE))))</f>
        <v>0</v>
      </c>
      <c r="AE104" s="524">
        <f>IF(ISBLANK(N104), 0, IF(ISNA(VLOOKUP($N104,Veg_Parameters!$A$3:$N$65,12,FALSE)),0,(VLOOKUP($N104,Veg_Parameters!$A$3:$N$65,12,FALSE))))</f>
        <v>0</v>
      </c>
      <c r="AF104" s="523">
        <f t="shared" si="155"/>
        <v>0</v>
      </c>
      <c r="AG104" s="523">
        <f t="shared" si="156"/>
        <v>0</v>
      </c>
      <c r="AH104" s="523">
        <f t="shared" si="157"/>
        <v>0</v>
      </c>
      <c r="AI104" s="526"/>
      <c r="AJ104" s="527">
        <f>AB104*(IF(ISNA(VLOOKUP($I104,Veg_Parameters!$A$3:$N$65,5,FALSE)),0,(VLOOKUP($I104,Veg_Parameters!$A$3:$N$65,5,FALSE))))</f>
        <v>0</v>
      </c>
      <c r="AK104" s="527">
        <f>IF(ISNA(VLOOKUP($I104,Veg_Parameters!$A$3:$N$65,4,FALSE)),0,(VLOOKUP($I104,Veg_Parameters!$A$3:$N$65,4,FALSE)))</f>
        <v>0</v>
      </c>
      <c r="AL104" s="527">
        <f>AB104*(IF(ISNA(VLOOKUP($I104,Veg_Parameters!$A$3:$N$65,7,FALSE)),0, (VLOOKUP($I104,Veg_Parameters!$A$3:$N$65,7,FALSE))))</f>
        <v>0</v>
      </c>
      <c r="AM104" s="528">
        <f>IF(ISNA(VLOOKUP($I104,Veg_Parameters!$A$3:$N$65,6,FALSE)), 0, (VLOOKUP($I104,Veg_Parameters!$A$3:$N$65,6,FALSE)))</f>
        <v>0</v>
      </c>
      <c r="AN104" s="529">
        <f t="shared" si="158"/>
        <v>20</v>
      </c>
      <c r="AO104" s="529">
        <f t="shared" si="159"/>
        <v>0</v>
      </c>
      <c r="AP104" s="529">
        <f t="shared" si="160"/>
        <v>0</v>
      </c>
      <c r="AQ104" s="530">
        <f t="shared" ref="AQ104:AQ127" si="176">IF(AL104&gt;0, AM104*(1-EXP(-AL104*AN104/AM104)), 0)</f>
        <v>0</v>
      </c>
      <c r="AR104" s="527" t="s">
        <v>3</v>
      </c>
      <c r="AS104" s="527">
        <f>IF(ISNA(VLOOKUP($I104,Veg_Parameters!$A$3:$N$65,8,FALSE)), 0, (VLOOKUP($I104,Veg_Parameters!$A$3:$N$65,8,FALSE)))</f>
        <v>0</v>
      </c>
      <c r="AT104" s="527">
        <f>AB104*(IF(ISNA(VLOOKUP($I104,Veg_Parameters!$A$3:$N$65,9,FALSE)), 0, (VLOOKUP($I104,Veg_Parameters!$A$3:$N$65,9,FALSE))))</f>
        <v>0</v>
      </c>
      <c r="AU104" s="527">
        <f>IF(ISBLANK(A104),0,VLOOKUP($I104,Veg_Parameters!$A$4:$U$65,21,))</f>
        <v>0</v>
      </c>
      <c r="AV104" s="527">
        <f t="shared" ref="AV104:AV127" si="177">IF(OR(I104=3500,I104=3600),U104,0)</f>
        <v>0</v>
      </c>
      <c r="AW104" s="529">
        <f t="shared" ref="AW104:AW127" si="178">IF(AT104&gt;0, AS104*(1-EXP(-AT104*AN104/AS104)),0)</f>
        <v>0</v>
      </c>
      <c r="AX104" s="529">
        <f t="shared" ref="AX104:AX127" si="179">PI()*(0.5*AW104)^2</f>
        <v>0</v>
      </c>
      <c r="AY104" s="529">
        <f t="shared" si="161"/>
        <v>0</v>
      </c>
      <c r="AZ104" s="529">
        <f t="shared" ref="AZ104:AZ127" si="180">+IF(AP104&gt;4.6,AY104,0)</f>
        <v>0</v>
      </c>
      <c r="BA104" s="529">
        <f t="shared" ref="BA104:BA127" si="181">IF(AND(AP104&gt;0.9,AP104&lt;4.6),AY104,IF(AP104&gt;4.6,0.5*AY104,0))</f>
        <v>0</v>
      </c>
      <c r="BB104" s="529">
        <f t="shared" ref="BB104:BB127" si="182">IF(AND(AP104&gt;0,AP104&lt;0.9),AY104,IF(AND(AP104&gt;0.9,AP104&lt;4.6),AY104*0.5,IF(AP104&gt;4.6,AY104*0.25,0)))</f>
        <v>0</v>
      </c>
      <c r="BC104" s="529">
        <f t="shared" si="162"/>
        <v>0</v>
      </c>
      <c r="BD104" s="531"/>
      <c r="BE104" s="527">
        <f>AH104*(IF(ISNA(VLOOKUP($N104,Veg_Parameters!$A$3:$N$65,5,FALSE)),0,(VLOOKUP($N104,Veg_Parameters!$A$3:$N$65,5,FALSE))))</f>
        <v>0</v>
      </c>
      <c r="BF104" s="527">
        <f>IF(ISNA(VLOOKUP($N104,Veg_Parameters!$A$3:$N$65,4,FALSE)),0,(VLOOKUP($N104,Veg_Parameters!$A$3:$N$65,4,FALSE)))</f>
        <v>0</v>
      </c>
      <c r="BG104" s="527">
        <f>AH104*(IF(ISNA(VLOOKUP($N104,Veg_Parameters!$A$3:$N$65,7,FALSE)),0, (VLOOKUP($N104,Veg_Parameters!$A$3:$N$65,7,FALSE))))</f>
        <v>0</v>
      </c>
      <c r="BH104" s="527">
        <f>IF(ISNA(VLOOKUP($N104,Veg_Parameters!$A$3:$N$65,6,FALSE)), 0, (VLOOKUP($N104,Veg_Parameters!$A$3:$N$65,6,FALSE)))</f>
        <v>0</v>
      </c>
      <c r="BI104" s="529">
        <f t="shared" si="163"/>
        <v>20</v>
      </c>
      <c r="BJ104" s="529">
        <f t="shared" ref="BJ104:BJ127" si="183">IF(BE104&gt;0, BF104*(1-EXP(-BE104*BI104/BF104)), 0)</f>
        <v>0</v>
      </c>
      <c r="BK104" s="529">
        <f t="shared" si="164"/>
        <v>0</v>
      </c>
      <c r="BL104" s="530">
        <f t="shared" ref="BL104:BL127" si="184">IF(BG104&gt;0, BH104*(1-EXP(-BG104*BI104/BH104)), 0)</f>
        <v>0</v>
      </c>
      <c r="BM104" s="527" t="s">
        <v>3</v>
      </c>
      <c r="BN104" s="527">
        <f>IF(ISNA(VLOOKUP(N104,Veg_Parameters!$A$3:$N$65,8,FALSE)), 0, (VLOOKUP($N104,Veg_Parameters!$A$3:$N$65,8,FALSE)))</f>
        <v>0</v>
      </c>
      <c r="BO104" s="527">
        <f>AH104*(IF(ISNA(VLOOKUP($N104,Veg_Parameters!$A$3:$N$65,9,FALSE)), 0, (VLOOKUP($N104,Veg_Parameters!$A$3:$N$65,9,FALSE))))</f>
        <v>0</v>
      </c>
      <c r="BP104" s="527" t="str">
        <f>IF(ISBLANK(N104),"0",VLOOKUP($N104,Veg_Parameters!$A$4:$U$65,21,))</f>
        <v>0</v>
      </c>
      <c r="BQ104" s="529">
        <f t="shared" ref="BQ104:BQ127" si="185">IF(BO104&gt;0, BN104*(1-EXP(-BO104*BI104/BN104)),0)</f>
        <v>0</v>
      </c>
      <c r="BR104" s="529">
        <f t="shared" ref="BR104:BR127" si="186">PI()*(0.5*BQ104)^2</f>
        <v>0</v>
      </c>
      <c r="BS104" s="529">
        <f t="shared" si="165"/>
        <v>0</v>
      </c>
      <c r="BT104" s="529">
        <f t="shared" ref="BT104:BT127" si="187">+IF(BK104&gt;4.6,BS104,0)</f>
        <v>0</v>
      </c>
      <c r="BU104" s="529">
        <f t="shared" ref="BU104:BU127" si="188">IF(AND(BK104&lt;4.6,BK104&gt;0.9),BS104,IF(BK104&gt;4.6,(0.5*BS104),0))</f>
        <v>0</v>
      </c>
      <c r="BV104" s="529">
        <f t="shared" ref="BV104:BV127" si="189">IF(AND(BK104&gt;0,BK104&lt;0.9),BS104,IF(AND(BK104&gt;0.9,BK104&lt;4.6),BS104*0.5,IF(BK104&gt;4.6,(BS104*0.25),0)))</f>
        <v>0</v>
      </c>
      <c r="BW104" s="532" t="str">
        <f t="shared" si="166"/>
        <v/>
      </c>
      <c r="BX104" s="532" t="str">
        <f t="shared" si="167"/>
        <v/>
      </c>
      <c r="BY104" s="532" t="str">
        <f t="shared" si="168"/>
        <v/>
      </c>
      <c r="BZ104" s="532" t="str">
        <f t="shared" si="169"/>
        <v/>
      </c>
      <c r="CA104" s="532">
        <f t="shared" si="170"/>
        <v>0</v>
      </c>
      <c r="CB104" s="533"/>
      <c r="CC104" s="624">
        <f t="shared" si="171"/>
        <v>0</v>
      </c>
      <c r="CD104" s="534">
        <f t="shared" si="172"/>
        <v>0</v>
      </c>
      <c r="CE104" s="534">
        <f t="shared" si="173"/>
        <v>0</v>
      </c>
      <c r="CF104" s="534">
        <f t="shared" si="174"/>
        <v>0</v>
      </c>
      <c r="CG104" s="534"/>
      <c r="CH104" s="534"/>
      <c r="CI104" s="534">
        <f t="shared" ref="CI104:CI127" si="190">BC104+CA104</f>
        <v>0</v>
      </c>
      <c r="CL104" s="534">
        <f>IF(ISNA(VLOOKUP(I104,Veg_Parameters!$A$3:$N$65,13,FALSE)),0,(VLOOKUP(I104,Veg_Parameters!$A$3:$N$65,13,FALSE)))</f>
        <v>0</v>
      </c>
      <c r="CM104" s="534">
        <f t="shared" ref="CM104:CM127" si="191">+IF(ISBLANK(A104),0,IF(CL104="H",BB104,0))</f>
        <v>0</v>
      </c>
      <c r="CN104" s="534">
        <f>IF(ISNA(VLOOKUP(N104,Veg_Parameters!$A$3:$N$65,13,FALSE)),0,(VLOOKUP(N104,Veg_Parameters!$A$3:$N$65,13,FALSE)))</f>
        <v>0</v>
      </c>
      <c r="CO104" s="523">
        <f t="shared" ref="CO104:CO127" si="192">+IF(ISBLANK(A104),0, IF(CN104="H", BV104, 0))</f>
        <v>0</v>
      </c>
    </row>
    <row r="105" spans="1:93" x14ac:dyDescent="0.2">
      <c r="A105" s="230"/>
      <c r="B105" s="171" t="str">
        <f t="shared" ref="B105:B127" si="193">IF(ISBLANK(A105),"",$B$103)</f>
        <v/>
      </c>
      <c r="C105" s="230"/>
      <c r="D105" s="169"/>
      <c r="E105" s="165"/>
      <c r="F105" s="165"/>
      <c r="G105" s="165"/>
      <c r="H105" s="165"/>
      <c r="I105" s="168"/>
      <c r="J105" s="167"/>
      <c r="K105" s="166"/>
      <c r="L105" s="166"/>
      <c r="M105" s="167"/>
      <c r="N105" s="168"/>
      <c r="O105" s="168"/>
      <c r="P105" s="167"/>
      <c r="Q105" s="167"/>
      <c r="R105" s="167"/>
      <c r="S105" s="222" t="str">
        <f>IF(ISBLANK(A105),"",IF(ISNA(VLOOKUP(I105,Veg_Parameters!$A$3:$N$65,3,FALSE)),0,(VLOOKUP(I105,Veg_Parameters!$A$3:$N$65,3,FALSE))))</f>
        <v/>
      </c>
      <c r="T105" s="222" t="str">
        <f>IF(ISBLANK(N105),"",IF(ISNA(VLOOKUP(N105,Veg_Parameters!$A$3:$N$65,3,FALSE)),0,(VLOOKUP(N105,Veg_Parameters!$A$3:$N$65,3,FALSE))))</f>
        <v/>
      </c>
      <c r="U105" s="523">
        <f t="shared" si="175"/>
        <v>0</v>
      </c>
      <c r="V105" s="523">
        <f t="shared" si="151"/>
        <v>0</v>
      </c>
      <c r="W105" s="524">
        <f>IF(ISBLANK(A105),0,IF(ISNA(VLOOKUP($I105,Veg_Parameters!$A$3:$N$65,10,FALSE)),0,(VLOOKUP($I105,Veg_Parameters!$A$3:$N$65,10,FALSE))))</f>
        <v>0</v>
      </c>
      <c r="X105" s="524">
        <f>IF(ISBLANK(A105),0,IF(ISNA(VLOOKUP($I105,Veg_Parameters!$A$3:$N$65,11,FALSE)),0,(VLOOKUP($I105,Veg_Parameters!$A$3:$N$65,11,FALSE))))</f>
        <v>0</v>
      </c>
      <c r="Y105" s="524">
        <f>IF(ISBLANK(A105),0,IF(ISNA(VLOOKUP($I105,Veg_Parameters!$A$3:$N$65,12,FALSE)),0,(VLOOKUP($I105,Veg_Parameters!$A$3:$N$65,12,FALSE))))</f>
        <v>0</v>
      </c>
      <c r="Z105" s="525">
        <f t="shared" si="152"/>
        <v>0</v>
      </c>
      <c r="AA105" s="525">
        <f t="shared" si="153"/>
        <v>0</v>
      </c>
      <c r="AB105" s="525">
        <f t="shared" si="154"/>
        <v>0</v>
      </c>
      <c r="AC105" s="524">
        <f>IF(ISBLANK(N105),0,IF(ISNA(VLOOKUP($N105,Veg_Parameters!$A$3:$N$65,10,FALSE)),0,(VLOOKUP($N105,Veg_Parameters!$A$3:$N$65,10,FALSE))))</f>
        <v>0</v>
      </c>
      <c r="AD105" s="524">
        <f>IF(ISBLANK(N105),0,IF(ISNA(VLOOKUP($N105,Veg_Parameters!$A$3:$N$65,11,FALSE)),0,(VLOOKUP($N105,Veg_Parameters!$A$3:$N$65,11,FALSE))))</f>
        <v>0</v>
      </c>
      <c r="AE105" s="524">
        <f>IF(ISBLANK(N105), 0, IF(ISNA(VLOOKUP($N105,Veg_Parameters!$A$3:$N$65,12,FALSE)),0,(VLOOKUP($N105,Veg_Parameters!$A$3:$N$65,12,FALSE))))</f>
        <v>0</v>
      </c>
      <c r="AF105" s="523">
        <f t="shared" si="155"/>
        <v>0</v>
      </c>
      <c r="AG105" s="523">
        <f t="shared" si="156"/>
        <v>0</v>
      </c>
      <c r="AH105" s="523">
        <f t="shared" si="157"/>
        <v>0</v>
      </c>
      <c r="AI105" s="526"/>
      <c r="AJ105" s="527">
        <f>AB105*(IF(ISNA(VLOOKUP($I105,Veg_Parameters!$A$3:$N$65,5,FALSE)),0,(VLOOKUP($I105,Veg_Parameters!$A$3:$N$65,5,FALSE))))</f>
        <v>0</v>
      </c>
      <c r="AK105" s="527">
        <f>IF(ISNA(VLOOKUP($I105,Veg_Parameters!$A$3:$N$65,4,FALSE)),0,(VLOOKUP($I105,Veg_Parameters!$A$3:$N$65,4,FALSE)))</f>
        <v>0</v>
      </c>
      <c r="AL105" s="527">
        <f>AB105*(IF(ISNA(VLOOKUP($I105,Veg_Parameters!$A$3:$N$65,7,FALSE)),0, (VLOOKUP($I105,Veg_Parameters!$A$3:$N$65,7,FALSE))))</f>
        <v>0</v>
      </c>
      <c r="AM105" s="528">
        <f>IF(ISNA(VLOOKUP($I105,Veg_Parameters!$A$3:$N$65,6,FALSE)), 0, (VLOOKUP($I105,Veg_Parameters!$A$3:$N$65,6,FALSE)))</f>
        <v>0</v>
      </c>
      <c r="AN105" s="529">
        <f t="shared" si="158"/>
        <v>20</v>
      </c>
      <c r="AO105" s="529">
        <f t="shared" si="159"/>
        <v>0</v>
      </c>
      <c r="AP105" s="529">
        <f t="shared" si="160"/>
        <v>0</v>
      </c>
      <c r="AQ105" s="530">
        <f t="shared" si="176"/>
        <v>0</v>
      </c>
      <c r="AR105" s="527" t="s">
        <v>3</v>
      </c>
      <c r="AS105" s="527">
        <f>IF(ISNA(VLOOKUP($I105,Veg_Parameters!$A$3:$N$65,8,FALSE)), 0, (VLOOKUP($I105,Veg_Parameters!$A$3:$N$65,8,FALSE)))</f>
        <v>0</v>
      </c>
      <c r="AT105" s="527">
        <f>AB105*(IF(ISNA(VLOOKUP($I105,Veg_Parameters!$A$3:$N$65,9,FALSE)), 0, (VLOOKUP($I105,Veg_Parameters!$A$3:$N$65,9,FALSE))))</f>
        <v>0</v>
      </c>
      <c r="AU105" s="527">
        <f>IF(ISBLANK(A105),0,VLOOKUP($I105,Veg_Parameters!$A$4:$U$65,21,))</f>
        <v>0</v>
      </c>
      <c r="AV105" s="527">
        <f t="shared" si="177"/>
        <v>0</v>
      </c>
      <c r="AW105" s="529">
        <f t="shared" si="178"/>
        <v>0</v>
      </c>
      <c r="AX105" s="529">
        <f t="shared" si="179"/>
        <v>0</v>
      </c>
      <c r="AY105" s="529">
        <f t="shared" si="161"/>
        <v>0</v>
      </c>
      <c r="AZ105" s="529">
        <f t="shared" si="180"/>
        <v>0</v>
      </c>
      <c r="BA105" s="529">
        <f t="shared" si="181"/>
        <v>0</v>
      </c>
      <c r="BB105" s="529">
        <f t="shared" si="182"/>
        <v>0</v>
      </c>
      <c r="BC105" s="529">
        <f t="shared" si="162"/>
        <v>0</v>
      </c>
      <c r="BD105" s="531"/>
      <c r="BE105" s="527">
        <f>AH105*(IF(ISNA(VLOOKUP($N105,Veg_Parameters!$A$3:$N$65,5,FALSE)),0,(VLOOKUP($N105,Veg_Parameters!$A$3:$N$65,5,FALSE))))</f>
        <v>0</v>
      </c>
      <c r="BF105" s="527">
        <f>IF(ISNA(VLOOKUP($N105,Veg_Parameters!$A$3:$N$65,4,FALSE)),0,(VLOOKUP($N105,Veg_Parameters!$A$3:$N$65,4,FALSE)))</f>
        <v>0</v>
      </c>
      <c r="BG105" s="527">
        <f>AH105*(IF(ISNA(VLOOKUP($N105,Veg_Parameters!$A$3:$N$65,7,FALSE)),0, (VLOOKUP($N105,Veg_Parameters!$A$3:$N$65,7,FALSE))))</f>
        <v>0</v>
      </c>
      <c r="BH105" s="527">
        <f>IF(ISNA(VLOOKUP($N105,Veg_Parameters!$A$3:$N$65,6,FALSE)), 0, (VLOOKUP($N105,Veg_Parameters!$A$3:$N$65,6,FALSE)))</f>
        <v>0</v>
      </c>
      <c r="BI105" s="529">
        <f t="shared" si="163"/>
        <v>20</v>
      </c>
      <c r="BJ105" s="529">
        <f t="shared" si="183"/>
        <v>0</v>
      </c>
      <c r="BK105" s="529">
        <f t="shared" si="164"/>
        <v>0</v>
      </c>
      <c r="BL105" s="530">
        <f t="shared" si="184"/>
        <v>0</v>
      </c>
      <c r="BM105" s="527" t="s">
        <v>3</v>
      </c>
      <c r="BN105" s="527">
        <f>IF(ISNA(VLOOKUP(N105,Veg_Parameters!$A$3:$N$65,8,FALSE)), 0, (VLOOKUP($N105,Veg_Parameters!$A$3:$N$65,8,FALSE)))</f>
        <v>0</v>
      </c>
      <c r="BO105" s="527">
        <f>AH105*(IF(ISNA(VLOOKUP($N105,Veg_Parameters!$A$3:$N$65,9,FALSE)), 0, (VLOOKUP($N105,Veg_Parameters!$A$3:$N$65,9,FALSE))))</f>
        <v>0</v>
      </c>
      <c r="BP105" s="527" t="str">
        <f>IF(ISBLANK(N105),"0",VLOOKUP($N105,Veg_Parameters!$A$4:$U$65,21,))</f>
        <v>0</v>
      </c>
      <c r="BQ105" s="529">
        <f t="shared" si="185"/>
        <v>0</v>
      </c>
      <c r="BR105" s="529">
        <f t="shared" si="186"/>
        <v>0</v>
      </c>
      <c r="BS105" s="529">
        <f t="shared" si="165"/>
        <v>0</v>
      </c>
      <c r="BT105" s="529">
        <f t="shared" si="187"/>
        <v>0</v>
      </c>
      <c r="BU105" s="529">
        <f t="shared" si="188"/>
        <v>0</v>
      </c>
      <c r="BV105" s="529">
        <f t="shared" si="189"/>
        <v>0</v>
      </c>
      <c r="BW105" s="532" t="str">
        <f t="shared" si="166"/>
        <v/>
      </c>
      <c r="BX105" s="532" t="str">
        <f t="shared" si="167"/>
        <v/>
      </c>
      <c r="BY105" s="532" t="str">
        <f t="shared" si="168"/>
        <v/>
      </c>
      <c r="BZ105" s="532" t="str">
        <f t="shared" si="169"/>
        <v/>
      </c>
      <c r="CA105" s="532">
        <f t="shared" si="170"/>
        <v>0</v>
      </c>
      <c r="CB105" s="533"/>
      <c r="CC105" s="624">
        <f t="shared" si="171"/>
        <v>0</v>
      </c>
      <c r="CD105" s="534">
        <f t="shared" si="172"/>
        <v>0</v>
      </c>
      <c r="CE105" s="534">
        <f t="shared" si="173"/>
        <v>0</v>
      </c>
      <c r="CF105" s="534">
        <f t="shared" si="174"/>
        <v>0</v>
      </c>
      <c r="CG105" s="534"/>
      <c r="CH105" s="534"/>
      <c r="CI105" s="534">
        <f t="shared" si="190"/>
        <v>0</v>
      </c>
      <c r="CL105" s="534">
        <f>IF(ISNA(VLOOKUP(I105,Veg_Parameters!$A$3:$N$65,13,FALSE)),0,(VLOOKUP(I105,Veg_Parameters!$A$3:$N$65,13,FALSE)))</f>
        <v>0</v>
      </c>
      <c r="CM105" s="534">
        <f t="shared" si="191"/>
        <v>0</v>
      </c>
      <c r="CN105" s="534">
        <f>IF(ISNA(VLOOKUP(N105,Veg_Parameters!$A$3:$N$65,13,FALSE)),0,(VLOOKUP(N105,Veg_Parameters!$A$3:$N$65,13,FALSE)))</f>
        <v>0</v>
      </c>
      <c r="CO105" s="523">
        <f t="shared" si="192"/>
        <v>0</v>
      </c>
    </row>
    <row r="106" spans="1:93" x14ac:dyDescent="0.2">
      <c r="A106" s="230"/>
      <c r="B106" s="171" t="str">
        <f t="shared" si="193"/>
        <v/>
      </c>
      <c r="C106" s="230"/>
      <c r="D106" s="169"/>
      <c r="E106" s="165"/>
      <c r="F106" s="165"/>
      <c r="G106" s="165"/>
      <c r="H106" s="165"/>
      <c r="I106" s="168"/>
      <c r="J106" s="167"/>
      <c r="K106" s="168"/>
      <c r="L106" s="167"/>
      <c r="M106" s="167"/>
      <c r="N106" s="168"/>
      <c r="O106" s="168"/>
      <c r="P106" s="167"/>
      <c r="Q106" s="167"/>
      <c r="R106" s="167"/>
      <c r="S106" s="222" t="str">
        <f>IF(ISBLANK(A106),"",IF(ISNA(VLOOKUP(I106,Veg_Parameters!$A$3:$N$65,3,FALSE)),0,(VLOOKUP(I106,Veg_Parameters!$A$3:$N$65,3,FALSE))))</f>
        <v/>
      </c>
      <c r="T106" s="222" t="str">
        <f>IF(ISBLANK(N106),"",IF(ISNA(VLOOKUP(N106,Veg_Parameters!$A$3:$N$65,3,FALSE)),0,(VLOOKUP(N106,Veg_Parameters!$A$3:$N$65,3,FALSE))))</f>
        <v/>
      </c>
      <c r="U106" s="523">
        <f t="shared" si="175"/>
        <v>0</v>
      </c>
      <c r="V106" s="523">
        <f t="shared" si="151"/>
        <v>0</v>
      </c>
      <c r="W106" s="524">
        <f>IF(ISBLANK(A106),0,IF(ISNA(VLOOKUP($I106,Veg_Parameters!$A$3:$N$65,10,FALSE)),0,(VLOOKUP($I106,Veg_Parameters!$A$3:$N$65,10,FALSE))))</f>
        <v>0</v>
      </c>
      <c r="X106" s="524">
        <f>IF(ISBLANK(A106),0,IF(ISNA(VLOOKUP($I106,Veg_Parameters!$A$3:$N$65,11,FALSE)),0,(VLOOKUP($I106,Veg_Parameters!$A$3:$N$65,11,FALSE))))</f>
        <v>0</v>
      </c>
      <c r="Y106" s="524">
        <f>IF(ISBLANK(A106),0,IF(ISNA(VLOOKUP($I106,Veg_Parameters!$A$3:$N$65,12,FALSE)),0,(VLOOKUP($I106,Veg_Parameters!$A$3:$N$65,12,FALSE))))</f>
        <v>0</v>
      </c>
      <c r="Z106" s="525">
        <f t="shared" si="152"/>
        <v>0</v>
      </c>
      <c r="AA106" s="525">
        <f t="shared" si="153"/>
        <v>0</v>
      </c>
      <c r="AB106" s="525">
        <f t="shared" si="154"/>
        <v>0</v>
      </c>
      <c r="AC106" s="524">
        <f>IF(ISBLANK(N106),0,IF(ISNA(VLOOKUP($N106,Veg_Parameters!$A$3:$N$65,10,FALSE)),0,(VLOOKUP($N106,Veg_Parameters!$A$3:$N$65,10,FALSE))))</f>
        <v>0</v>
      </c>
      <c r="AD106" s="524">
        <f>IF(ISBLANK(N106),0,IF(ISNA(VLOOKUP($N106,Veg_Parameters!$A$3:$N$65,11,FALSE)),0,(VLOOKUP($N106,Veg_Parameters!$A$3:$N$65,11,FALSE))))</f>
        <v>0</v>
      </c>
      <c r="AE106" s="524">
        <f>IF(ISBLANK(N106), 0, IF(ISNA(VLOOKUP($N106,Veg_Parameters!$A$3:$N$65,12,FALSE)),0,(VLOOKUP($N106,Veg_Parameters!$A$3:$N$65,12,FALSE))))</f>
        <v>0</v>
      </c>
      <c r="AF106" s="523">
        <f t="shared" si="155"/>
        <v>0</v>
      </c>
      <c r="AG106" s="523">
        <f t="shared" si="156"/>
        <v>0</v>
      </c>
      <c r="AH106" s="523">
        <f t="shared" si="157"/>
        <v>0</v>
      </c>
      <c r="AI106" s="526"/>
      <c r="AJ106" s="527">
        <f>AB106*(IF(ISNA(VLOOKUP($I106,Veg_Parameters!$A$3:$N$65,5,FALSE)),0,(VLOOKUP($I106,Veg_Parameters!$A$3:$N$65,5,FALSE))))</f>
        <v>0</v>
      </c>
      <c r="AK106" s="527">
        <f>IF(ISNA(VLOOKUP($I106,Veg_Parameters!$A$3:$N$65,4,FALSE)),0,(VLOOKUP($I106,Veg_Parameters!$A$3:$N$65,4,FALSE)))</f>
        <v>0</v>
      </c>
      <c r="AL106" s="527">
        <f>AB106*(IF(ISNA(VLOOKUP($I106,Veg_Parameters!$A$3:$N$65,7,FALSE)),0, (VLOOKUP($I106,Veg_Parameters!$A$3:$N$65,7,FALSE))))</f>
        <v>0</v>
      </c>
      <c r="AM106" s="528">
        <f>IF(ISNA(VLOOKUP($I106,Veg_Parameters!$A$3:$N$65,6,FALSE)), 0, (VLOOKUP($I106,Veg_Parameters!$A$3:$N$65,6,FALSE)))</f>
        <v>0</v>
      </c>
      <c r="AN106" s="529">
        <f t="shared" si="158"/>
        <v>20</v>
      </c>
      <c r="AO106" s="529">
        <f t="shared" si="159"/>
        <v>0</v>
      </c>
      <c r="AP106" s="529">
        <f t="shared" si="160"/>
        <v>0</v>
      </c>
      <c r="AQ106" s="530">
        <f t="shared" si="176"/>
        <v>0</v>
      </c>
      <c r="AR106" s="527" t="s">
        <v>3</v>
      </c>
      <c r="AS106" s="527">
        <f>IF(ISNA(VLOOKUP($I106,Veg_Parameters!$A$3:$N$65,8,FALSE)), 0, (VLOOKUP($I106,Veg_Parameters!$A$3:$N$65,8,FALSE)))</f>
        <v>0</v>
      </c>
      <c r="AT106" s="527">
        <f>AB106*(IF(ISNA(VLOOKUP($I106,Veg_Parameters!$A$3:$N$65,9,FALSE)), 0, (VLOOKUP($I106,Veg_Parameters!$A$3:$N$65,9,FALSE))))</f>
        <v>0</v>
      </c>
      <c r="AU106" s="527">
        <f>IF(ISBLANK(A106),0,VLOOKUP($I106,Veg_Parameters!$A$4:$U$65,21,))</f>
        <v>0</v>
      </c>
      <c r="AV106" s="527">
        <f t="shared" si="177"/>
        <v>0</v>
      </c>
      <c r="AW106" s="529">
        <f t="shared" si="178"/>
        <v>0</v>
      </c>
      <c r="AX106" s="529">
        <f t="shared" si="179"/>
        <v>0</v>
      </c>
      <c r="AY106" s="529">
        <f t="shared" si="161"/>
        <v>0</v>
      </c>
      <c r="AZ106" s="529">
        <f t="shared" si="180"/>
        <v>0</v>
      </c>
      <c r="BA106" s="529">
        <f t="shared" si="181"/>
        <v>0</v>
      </c>
      <c r="BB106" s="529">
        <f t="shared" si="182"/>
        <v>0</v>
      </c>
      <c r="BC106" s="529">
        <f t="shared" si="162"/>
        <v>0</v>
      </c>
      <c r="BD106" s="531"/>
      <c r="BE106" s="527">
        <f>AH106*(IF(ISNA(VLOOKUP($N106,Veg_Parameters!$A$3:$N$65,5,FALSE)),0,(VLOOKUP($N106,Veg_Parameters!$A$3:$N$65,5,FALSE))))</f>
        <v>0</v>
      </c>
      <c r="BF106" s="527">
        <f>IF(ISNA(VLOOKUP($N106,Veg_Parameters!$A$3:$N$65,4,FALSE)),0,(VLOOKUP($N106,Veg_Parameters!$A$3:$N$65,4,FALSE)))</f>
        <v>0</v>
      </c>
      <c r="BG106" s="527">
        <f>AH106*(IF(ISNA(VLOOKUP($N106,Veg_Parameters!$A$3:$N$65,7,FALSE)),0, (VLOOKUP($N106,Veg_Parameters!$A$3:$N$65,7,FALSE))))</f>
        <v>0</v>
      </c>
      <c r="BH106" s="527">
        <f>IF(ISNA(VLOOKUP($N106,Veg_Parameters!$A$3:$N$65,6,FALSE)), 0, (VLOOKUP($N106,Veg_Parameters!$A$3:$N$65,6,FALSE)))</f>
        <v>0</v>
      </c>
      <c r="BI106" s="529">
        <f t="shared" si="163"/>
        <v>20</v>
      </c>
      <c r="BJ106" s="529">
        <f t="shared" si="183"/>
        <v>0</v>
      </c>
      <c r="BK106" s="529">
        <f t="shared" si="164"/>
        <v>0</v>
      </c>
      <c r="BL106" s="530">
        <f t="shared" si="184"/>
        <v>0</v>
      </c>
      <c r="BM106" s="527" t="s">
        <v>3</v>
      </c>
      <c r="BN106" s="527">
        <f>IF(ISNA(VLOOKUP(N106,Veg_Parameters!$A$3:$N$65,8,FALSE)), 0, (VLOOKUP($N106,Veg_Parameters!$A$3:$N$65,8,FALSE)))</f>
        <v>0</v>
      </c>
      <c r="BO106" s="527">
        <f>AH106*(IF(ISNA(VLOOKUP($N106,Veg_Parameters!$A$3:$N$65,9,FALSE)), 0, (VLOOKUP($N106,Veg_Parameters!$A$3:$N$65,9,FALSE))))</f>
        <v>0</v>
      </c>
      <c r="BP106" s="527" t="str">
        <f>IF(ISBLANK(N106),"0",VLOOKUP($N106,Veg_Parameters!$A$4:$U$65,21,))</f>
        <v>0</v>
      </c>
      <c r="BQ106" s="529">
        <f t="shared" si="185"/>
        <v>0</v>
      </c>
      <c r="BR106" s="529">
        <f t="shared" si="186"/>
        <v>0</v>
      </c>
      <c r="BS106" s="529">
        <f t="shared" si="165"/>
        <v>0</v>
      </c>
      <c r="BT106" s="529">
        <f t="shared" si="187"/>
        <v>0</v>
      </c>
      <c r="BU106" s="529">
        <f t="shared" si="188"/>
        <v>0</v>
      </c>
      <c r="BV106" s="529">
        <f t="shared" si="189"/>
        <v>0</v>
      </c>
      <c r="BW106" s="532" t="str">
        <f t="shared" si="166"/>
        <v/>
      </c>
      <c r="BX106" s="532" t="str">
        <f t="shared" si="167"/>
        <v/>
      </c>
      <c r="BY106" s="532" t="str">
        <f t="shared" si="168"/>
        <v/>
      </c>
      <c r="BZ106" s="532" t="str">
        <f t="shared" si="169"/>
        <v/>
      </c>
      <c r="CA106" s="532">
        <f t="shared" si="170"/>
        <v>0</v>
      </c>
      <c r="CB106" s="533"/>
      <c r="CC106" s="624">
        <f t="shared" si="171"/>
        <v>0</v>
      </c>
      <c r="CD106" s="534">
        <f t="shared" si="172"/>
        <v>0</v>
      </c>
      <c r="CE106" s="534">
        <f t="shared" si="173"/>
        <v>0</v>
      </c>
      <c r="CF106" s="534">
        <f t="shared" si="174"/>
        <v>0</v>
      </c>
      <c r="CG106" s="534"/>
      <c r="CH106" s="534"/>
      <c r="CI106" s="534">
        <f t="shared" si="190"/>
        <v>0</v>
      </c>
      <c r="CL106" s="534">
        <f>IF(ISNA(VLOOKUP(I106,Veg_Parameters!$A$3:$N$65,13,FALSE)),0,(VLOOKUP(I106,Veg_Parameters!$A$3:$N$65,13,FALSE)))</f>
        <v>0</v>
      </c>
      <c r="CM106" s="534">
        <f t="shared" si="191"/>
        <v>0</v>
      </c>
      <c r="CN106" s="534">
        <f>IF(ISNA(VLOOKUP(N106,Veg_Parameters!$A$3:$N$65,13,FALSE)),0,(VLOOKUP(N106,Veg_Parameters!$A$3:$N$65,13,FALSE)))</f>
        <v>0</v>
      </c>
      <c r="CO106" s="523">
        <f t="shared" si="192"/>
        <v>0</v>
      </c>
    </row>
    <row r="107" spans="1:93" x14ac:dyDescent="0.2">
      <c r="A107" s="230"/>
      <c r="B107" s="171" t="str">
        <f t="shared" si="193"/>
        <v/>
      </c>
      <c r="C107" s="230"/>
      <c r="D107" s="169"/>
      <c r="E107" s="165"/>
      <c r="F107" s="165"/>
      <c r="G107" s="165"/>
      <c r="H107" s="165"/>
      <c r="I107" s="168"/>
      <c r="J107" s="167"/>
      <c r="K107" s="168"/>
      <c r="L107" s="167"/>
      <c r="M107" s="167"/>
      <c r="N107" s="168"/>
      <c r="O107" s="168"/>
      <c r="P107" s="167"/>
      <c r="Q107" s="167"/>
      <c r="R107" s="167"/>
      <c r="S107" s="222" t="str">
        <f>IF(ISBLANK(A107),"",IF(ISNA(VLOOKUP(I107,Veg_Parameters!$A$3:$N$65,3,FALSE)),0,(VLOOKUP(I107,Veg_Parameters!$A$3:$N$65,3,FALSE))))</f>
        <v/>
      </c>
      <c r="T107" s="222" t="str">
        <f>IF(ISBLANK(N107),"",IF(ISNA(VLOOKUP(N107,Veg_Parameters!$A$3:$N$65,3,FALSE)),0,(VLOOKUP(N107,Veg_Parameters!$A$3:$N$65,3,FALSE))))</f>
        <v/>
      </c>
      <c r="U107" s="523">
        <f t="shared" si="175"/>
        <v>0</v>
      </c>
      <c r="V107" s="523">
        <f t="shared" si="151"/>
        <v>0</v>
      </c>
      <c r="W107" s="524">
        <f>IF(ISBLANK(A107),0,IF(ISNA(VLOOKUP($I107,Veg_Parameters!$A$3:$N$65,10,FALSE)),0,(VLOOKUP($I107,Veg_Parameters!$A$3:$N$65,10,FALSE))))</f>
        <v>0</v>
      </c>
      <c r="X107" s="524">
        <f>IF(ISBLANK(A107),0,IF(ISNA(VLOOKUP($I107,Veg_Parameters!$A$3:$N$65,11,FALSE)),0,(VLOOKUP($I107,Veg_Parameters!$A$3:$N$65,11,FALSE))))</f>
        <v>0</v>
      </c>
      <c r="Y107" s="524">
        <f>IF(ISBLANK(A107),0,IF(ISNA(VLOOKUP($I107,Veg_Parameters!$A$3:$N$65,12,FALSE)),0,(VLOOKUP($I107,Veg_Parameters!$A$3:$N$65,12,FALSE))))</f>
        <v>0</v>
      </c>
      <c r="Z107" s="525">
        <f t="shared" si="152"/>
        <v>0</v>
      </c>
      <c r="AA107" s="525">
        <f t="shared" si="153"/>
        <v>0</v>
      </c>
      <c r="AB107" s="525">
        <f t="shared" si="154"/>
        <v>0</v>
      </c>
      <c r="AC107" s="524">
        <f>IF(ISBLANK(N107),0,IF(ISNA(VLOOKUP($N107,Veg_Parameters!$A$3:$N$65,10,FALSE)),0,(VLOOKUP($N107,Veg_Parameters!$A$3:$N$65,10,FALSE))))</f>
        <v>0</v>
      </c>
      <c r="AD107" s="524">
        <f>IF(ISBLANK(N107),0,IF(ISNA(VLOOKUP($N107,Veg_Parameters!$A$3:$N$65,11,FALSE)),0,(VLOOKUP($N107,Veg_Parameters!$A$3:$N$65,11,FALSE))))</f>
        <v>0</v>
      </c>
      <c r="AE107" s="524">
        <f>IF(ISBLANK(N107), 0, IF(ISNA(VLOOKUP($N107,Veg_Parameters!$A$3:$N$65,12,FALSE)),0,(VLOOKUP($N107,Veg_Parameters!$A$3:$N$65,12,FALSE))))</f>
        <v>0</v>
      </c>
      <c r="AF107" s="523">
        <f t="shared" si="155"/>
        <v>0</v>
      </c>
      <c r="AG107" s="523">
        <f t="shared" si="156"/>
        <v>0</v>
      </c>
      <c r="AH107" s="523">
        <f t="shared" si="157"/>
        <v>0</v>
      </c>
      <c r="AI107" s="526"/>
      <c r="AJ107" s="527">
        <f>AB107*(IF(ISNA(VLOOKUP($I107,Veg_Parameters!$A$3:$N$65,5,FALSE)),0,(VLOOKUP($I107,Veg_Parameters!$A$3:$N$65,5,FALSE))))</f>
        <v>0</v>
      </c>
      <c r="AK107" s="527">
        <f>IF(ISNA(VLOOKUP($I107,Veg_Parameters!$A$3:$N$65,4,FALSE)),0,(VLOOKUP($I107,Veg_Parameters!$A$3:$N$65,4,FALSE)))</f>
        <v>0</v>
      </c>
      <c r="AL107" s="527">
        <f>AB107*(IF(ISNA(VLOOKUP($I107,Veg_Parameters!$A$3:$N$65,7,FALSE)),0, (VLOOKUP($I107,Veg_Parameters!$A$3:$N$65,7,FALSE))))</f>
        <v>0</v>
      </c>
      <c r="AM107" s="528">
        <f>IF(ISNA(VLOOKUP($I107,Veg_Parameters!$A$3:$N$65,6,FALSE)), 0, (VLOOKUP($I107,Veg_Parameters!$A$3:$N$65,6,FALSE)))</f>
        <v>0</v>
      </c>
      <c r="AN107" s="529">
        <f t="shared" si="158"/>
        <v>20</v>
      </c>
      <c r="AO107" s="529">
        <f t="shared" si="159"/>
        <v>0</v>
      </c>
      <c r="AP107" s="529">
        <f t="shared" si="160"/>
        <v>0</v>
      </c>
      <c r="AQ107" s="530">
        <f t="shared" si="176"/>
        <v>0</v>
      </c>
      <c r="AR107" s="527" t="s">
        <v>3</v>
      </c>
      <c r="AS107" s="527">
        <f>IF(ISNA(VLOOKUP($I107,Veg_Parameters!$A$3:$N$65,8,FALSE)), 0, (VLOOKUP($I107,Veg_Parameters!$A$3:$N$65,8,FALSE)))</f>
        <v>0</v>
      </c>
      <c r="AT107" s="527">
        <f>AB107*(IF(ISNA(VLOOKUP($I107,Veg_Parameters!$A$3:$N$65,9,FALSE)), 0, (VLOOKUP($I107,Veg_Parameters!$A$3:$N$65,9,FALSE))))</f>
        <v>0</v>
      </c>
      <c r="AU107" s="527">
        <f>IF(ISBLANK(A107),0,VLOOKUP($I107,Veg_Parameters!$A$4:$U$65,21,))</f>
        <v>0</v>
      </c>
      <c r="AV107" s="527">
        <f t="shared" si="177"/>
        <v>0</v>
      </c>
      <c r="AW107" s="529">
        <f t="shared" si="178"/>
        <v>0</v>
      </c>
      <c r="AX107" s="529">
        <f t="shared" si="179"/>
        <v>0</v>
      </c>
      <c r="AY107" s="529">
        <f t="shared" si="161"/>
        <v>0</v>
      </c>
      <c r="AZ107" s="529">
        <f t="shared" si="180"/>
        <v>0</v>
      </c>
      <c r="BA107" s="529">
        <f t="shared" si="181"/>
        <v>0</v>
      </c>
      <c r="BB107" s="529">
        <f t="shared" si="182"/>
        <v>0</v>
      </c>
      <c r="BC107" s="529">
        <f t="shared" si="162"/>
        <v>0</v>
      </c>
      <c r="BD107" s="531"/>
      <c r="BE107" s="527">
        <f>AH107*(IF(ISNA(VLOOKUP($N107,Veg_Parameters!$A$3:$N$65,5,FALSE)),0,(VLOOKUP($N107,Veg_Parameters!$A$3:$N$65,5,FALSE))))</f>
        <v>0</v>
      </c>
      <c r="BF107" s="527">
        <f>IF(ISNA(VLOOKUP($N107,Veg_Parameters!$A$3:$N$65,4,FALSE)),0,(VLOOKUP($N107,Veg_Parameters!$A$3:$N$65,4,FALSE)))</f>
        <v>0</v>
      </c>
      <c r="BG107" s="527">
        <f>AH107*(IF(ISNA(VLOOKUP($N107,Veg_Parameters!$A$3:$N$65,7,FALSE)),0, (VLOOKUP($N107,Veg_Parameters!$A$3:$N$65,7,FALSE))))</f>
        <v>0</v>
      </c>
      <c r="BH107" s="527">
        <f>IF(ISNA(VLOOKUP($N107,Veg_Parameters!$A$3:$N$65,6,FALSE)), 0, (VLOOKUP($N107,Veg_Parameters!$A$3:$N$65,6,FALSE)))</f>
        <v>0</v>
      </c>
      <c r="BI107" s="529">
        <f t="shared" si="163"/>
        <v>20</v>
      </c>
      <c r="BJ107" s="529">
        <f t="shared" si="183"/>
        <v>0</v>
      </c>
      <c r="BK107" s="529">
        <f t="shared" si="164"/>
        <v>0</v>
      </c>
      <c r="BL107" s="530">
        <f t="shared" si="184"/>
        <v>0</v>
      </c>
      <c r="BM107" s="527" t="s">
        <v>3</v>
      </c>
      <c r="BN107" s="527">
        <f>IF(ISNA(VLOOKUP(N107,Veg_Parameters!$A$3:$N$65,8,FALSE)), 0, (VLOOKUP($N107,Veg_Parameters!$A$3:$N$65,8,FALSE)))</f>
        <v>0</v>
      </c>
      <c r="BO107" s="527">
        <f>AH107*(IF(ISNA(VLOOKUP($N107,Veg_Parameters!$A$3:$N$65,9,FALSE)), 0, (VLOOKUP($N107,Veg_Parameters!$A$3:$N$65,9,FALSE))))</f>
        <v>0</v>
      </c>
      <c r="BP107" s="527" t="str">
        <f>IF(ISBLANK(N107),"0",VLOOKUP($N107,Veg_Parameters!$A$4:$U$65,21,))</f>
        <v>0</v>
      </c>
      <c r="BQ107" s="529">
        <f t="shared" si="185"/>
        <v>0</v>
      </c>
      <c r="BR107" s="529">
        <f t="shared" si="186"/>
        <v>0</v>
      </c>
      <c r="BS107" s="529">
        <f t="shared" si="165"/>
        <v>0</v>
      </c>
      <c r="BT107" s="529">
        <f t="shared" si="187"/>
        <v>0</v>
      </c>
      <c r="BU107" s="529">
        <f t="shared" si="188"/>
        <v>0</v>
      </c>
      <c r="BV107" s="529">
        <f t="shared" si="189"/>
        <v>0</v>
      </c>
      <c r="BW107" s="532" t="str">
        <f t="shared" si="166"/>
        <v/>
      </c>
      <c r="BX107" s="532" t="str">
        <f t="shared" si="167"/>
        <v/>
      </c>
      <c r="BY107" s="532" t="str">
        <f t="shared" si="168"/>
        <v/>
      </c>
      <c r="BZ107" s="532" t="str">
        <f t="shared" si="169"/>
        <v/>
      </c>
      <c r="CA107" s="532">
        <f t="shared" si="170"/>
        <v>0</v>
      </c>
      <c r="CB107" s="533"/>
      <c r="CC107" s="624">
        <f t="shared" si="171"/>
        <v>0</v>
      </c>
      <c r="CD107" s="534">
        <f t="shared" si="172"/>
        <v>0</v>
      </c>
      <c r="CE107" s="534">
        <f t="shared" si="173"/>
        <v>0</v>
      </c>
      <c r="CF107" s="534">
        <f t="shared" si="174"/>
        <v>0</v>
      </c>
      <c r="CG107" s="534"/>
      <c r="CH107" s="534"/>
      <c r="CI107" s="534">
        <f t="shared" si="190"/>
        <v>0</v>
      </c>
      <c r="CL107" s="534">
        <f>IF(ISNA(VLOOKUP(I107,Veg_Parameters!$A$3:$N$65,13,FALSE)),0,(VLOOKUP(I107,Veg_Parameters!$A$3:$N$65,13,FALSE)))</f>
        <v>0</v>
      </c>
      <c r="CM107" s="534">
        <f t="shared" si="191"/>
        <v>0</v>
      </c>
      <c r="CN107" s="534">
        <f>IF(ISNA(VLOOKUP(N107,Veg_Parameters!$A$3:$N$65,13,FALSE)),0,(VLOOKUP(N107,Veg_Parameters!$A$3:$N$65,13,FALSE)))</f>
        <v>0</v>
      </c>
      <c r="CO107" s="523">
        <f t="shared" si="192"/>
        <v>0</v>
      </c>
    </row>
    <row r="108" spans="1:93" x14ac:dyDescent="0.2">
      <c r="A108" s="230"/>
      <c r="B108" s="171" t="str">
        <f t="shared" si="193"/>
        <v/>
      </c>
      <c r="C108" s="230"/>
      <c r="D108" s="169"/>
      <c r="E108" s="165"/>
      <c r="F108" s="165"/>
      <c r="G108" s="165"/>
      <c r="H108" s="165"/>
      <c r="I108" s="168"/>
      <c r="J108" s="167"/>
      <c r="K108" s="168"/>
      <c r="L108" s="167"/>
      <c r="M108" s="167"/>
      <c r="N108" s="168"/>
      <c r="O108" s="168"/>
      <c r="P108" s="167"/>
      <c r="Q108" s="167"/>
      <c r="R108" s="167"/>
      <c r="S108" s="222" t="str">
        <f>IF(ISBLANK(A108),"",IF(ISNA(VLOOKUP(I108,Veg_Parameters!$A$3:$N$65,3,FALSE)),0,(VLOOKUP(I108,Veg_Parameters!$A$3:$N$65,3,FALSE))))</f>
        <v/>
      </c>
      <c r="T108" s="222" t="str">
        <f>IF(ISBLANK(N108),"",IF(ISNA(VLOOKUP(N108,Veg_Parameters!$A$3:$N$65,3,FALSE)),0,(VLOOKUP(N108,Veg_Parameters!$A$3:$N$65,3,FALSE))))</f>
        <v/>
      </c>
      <c r="U108" s="523">
        <f t="shared" si="175"/>
        <v>0</v>
      </c>
      <c r="V108" s="523">
        <f t="shared" si="151"/>
        <v>0</v>
      </c>
      <c r="W108" s="524">
        <f>IF(ISBLANK(A108),0,IF(ISNA(VLOOKUP($I108,Veg_Parameters!$A$3:$N$65,10,FALSE)),0,(VLOOKUP($I108,Veg_Parameters!$A$3:$N$65,10,FALSE))))</f>
        <v>0</v>
      </c>
      <c r="X108" s="524">
        <f>IF(ISBLANK(A108),0,IF(ISNA(VLOOKUP($I108,Veg_Parameters!$A$3:$N$65,11,FALSE)),0,(VLOOKUP($I108,Veg_Parameters!$A$3:$N$65,11,FALSE))))</f>
        <v>0</v>
      </c>
      <c r="Y108" s="524">
        <f>IF(ISBLANK(A108),0,IF(ISNA(VLOOKUP($I108,Veg_Parameters!$A$3:$N$65,12,FALSE)),0,(VLOOKUP($I108,Veg_Parameters!$A$3:$N$65,12,FALSE))))</f>
        <v>0</v>
      </c>
      <c r="Z108" s="525">
        <f t="shared" si="152"/>
        <v>0</v>
      </c>
      <c r="AA108" s="525">
        <f t="shared" si="153"/>
        <v>0</v>
      </c>
      <c r="AB108" s="525">
        <f t="shared" si="154"/>
        <v>0</v>
      </c>
      <c r="AC108" s="524">
        <f>IF(ISBLANK(N108),0,IF(ISNA(VLOOKUP($N108,Veg_Parameters!$A$3:$N$65,10,FALSE)),0,(VLOOKUP($N108,Veg_Parameters!$A$3:$N$65,10,FALSE))))</f>
        <v>0</v>
      </c>
      <c r="AD108" s="524">
        <f>IF(ISBLANK(N108),0,IF(ISNA(VLOOKUP($N108,Veg_Parameters!$A$3:$N$65,11,FALSE)),0,(VLOOKUP($N108,Veg_Parameters!$A$3:$N$65,11,FALSE))))</f>
        <v>0</v>
      </c>
      <c r="AE108" s="524">
        <f>IF(ISBLANK(N108), 0, IF(ISNA(VLOOKUP($N108,Veg_Parameters!$A$3:$N$65,12,FALSE)),0,(VLOOKUP($N108,Veg_Parameters!$A$3:$N$65,12,FALSE))))</f>
        <v>0</v>
      </c>
      <c r="AF108" s="523">
        <f t="shared" si="155"/>
        <v>0</v>
      </c>
      <c r="AG108" s="523">
        <f t="shared" si="156"/>
        <v>0</v>
      </c>
      <c r="AH108" s="523">
        <f t="shared" si="157"/>
        <v>0</v>
      </c>
      <c r="AI108" s="526"/>
      <c r="AJ108" s="527">
        <f>AB108*(IF(ISNA(VLOOKUP($I108,Veg_Parameters!$A$3:$N$65,5,FALSE)),0,(VLOOKUP($I108,Veg_Parameters!$A$3:$N$65,5,FALSE))))</f>
        <v>0</v>
      </c>
      <c r="AK108" s="527">
        <f>IF(ISNA(VLOOKUP($I108,Veg_Parameters!$A$3:$N$65,4,FALSE)),0,(VLOOKUP($I108,Veg_Parameters!$A$3:$N$65,4,FALSE)))</f>
        <v>0</v>
      </c>
      <c r="AL108" s="527">
        <f>AB108*(IF(ISNA(VLOOKUP($I108,Veg_Parameters!$A$3:$N$65,7,FALSE)),0, (VLOOKUP($I108,Veg_Parameters!$A$3:$N$65,7,FALSE))))</f>
        <v>0</v>
      </c>
      <c r="AM108" s="528">
        <f>IF(ISNA(VLOOKUP($I108,Veg_Parameters!$A$3:$N$65,6,FALSE)), 0, (VLOOKUP($I108,Veg_Parameters!$A$3:$N$65,6,FALSE)))</f>
        <v>0</v>
      </c>
      <c r="AN108" s="529">
        <f t="shared" si="158"/>
        <v>20</v>
      </c>
      <c r="AO108" s="529">
        <f t="shared" si="159"/>
        <v>0</v>
      </c>
      <c r="AP108" s="529">
        <f t="shared" si="160"/>
        <v>0</v>
      </c>
      <c r="AQ108" s="530">
        <f t="shared" si="176"/>
        <v>0</v>
      </c>
      <c r="AR108" s="527" t="s">
        <v>3</v>
      </c>
      <c r="AS108" s="527">
        <f>IF(ISNA(VLOOKUP($I108,Veg_Parameters!$A$3:$N$65,8,FALSE)), 0, (VLOOKUP($I108,Veg_Parameters!$A$3:$N$65,8,FALSE)))</f>
        <v>0</v>
      </c>
      <c r="AT108" s="527">
        <f>AB108*(IF(ISNA(VLOOKUP($I108,Veg_Parameters!$A$3:$N$65,9,FALSE)), 0, (VLOOKUP($I108,Veg_Parameters!$A$3:$N$65,9,FALSE))))</f>
        <v>0</v>
      </c>
      <c r="AU108" s="527">
        <f>IF(ISBLANK(A108),0,VLOOKUP($I108,Veg_Parameters!$A$4:$U$65,21,))</f>
        <v>0</v>
      </c>
      <c r="AV108" s="527">
        <f t="shared" si="177"/>
        <v>0</v>
      </c>
      <c r="AW108" s="529">
        <f t="shared" si="178"/>
        <v>0</v>
      </c>
      <c r="AX108" s="529">
        <f t="shared" si="179"/>
        <v>0</v>
      </c>
      <c r="AY108" s="529">
        <f t="shared" si="161"/>
        <v>0</v>
      </c>
      <c r="AZ108" s="529">
        <f t="shared" si="180"/>
        <v>0</v>
      </c>
      <c r="BA108" s="529">
        <f t="shared" si="181"/>
        <v>0</v>
      </c>
      <c r="BB108" s="529">
        <f t="shared" si="182"/>
        <v>0</v>
      </c>
      <c r="BC108" s="529">
        <f t="shared" si="162"/>
        <v>0</v>
      </c>
      <c r="BD108" s="531"/>
      <c r="BE108" s="527">
        <f>AH108*(IF(ISNA(VLOOKUP($N108,Veg_Parameters!$A$3:$N$65,5,FALSE)),0,(VLOOKUP($N108,Veg_Parameters!$A$3:$N$65,5,FALSE))))</f>
        <v>0</v>
      </c>
      <c r="BF108" s="527">
        <f>IF(ISNA(VLOOKUP($N108,Veg_Parameters!$A$3:$N$65,4,FALSE)),0,(VLOOKUP($N108,Veg_Parameters!$A$3:$N$65,4,FALSE)))</f>
        <v>0</v>
      </c>
      <c r="BG108" s="527">
        <f>AH108*(IF(ISNA(VLOOKUP($N108,Veg_Parameters!$A$3:$N$65,7,FALSE)),0, (VLOOKUP($N108,Veg_Parameters!$A$3:$N$65,7,FALSE))))</f>
        <v>0</v>
      </c>
      <c r="BH108" s="527">
        <f>IF(ISNA(VLOOKUP($N108,Veg_Parameters!$A$3:$N$65,6,FALSE)), 0, (VLOOKUP($N108,Veg_Parameters!$A$3:$N$65,6,FALSE)))</f>
        <v>0</v>
      </c>
      <c r="BI108" s="529">
        <f t="shared" si="163"/>
        <v>20</v>
      </c>
      <c r="BJ108" s="529">
        <f t="shared" si="183"/>
        <v>0</v>
      </c>
      <c r="BK108" s="529">
        <f t="shared" si="164"/>
        <v>0</v>
      </c>
      <c r="BL108" s="530">
        <f t="shared" si="184"/>
        <v>0</v>
      </c>
      <c r="BM108" s="527" t="s">
        <v>3</v>
      </c>
      <c r="BN108" s="527">
        <f>IF(ISNA(VLOOKUP(N108,Veg_Parameters!$A$3:$N$65,8,FALSE)), 0, (VLOOKUP($N108,Veg_Parameters!$A$3:$N$65,8,FALSE)))</f>
        <v>0</v>
      </c>
      <c r="BO108" s="527">
        <f>AH108*(IF(ISNA(VLOOKUP($N108,Veg_Parameters!$A$3:$N$65,9,FALSE)), 0, (VLOOKUP($N108,Veg_Parameters!$A$3:$N$65,9,FALSE))))</f>
        <v>0</v>
      </c>
      <c r="BP108" s="527" t="str">
        <f>IF(ISBLANK(N108),"0",VLOOKUP($N108,Veg_Parameters!$A$4:$U$65,21,))</f>
        <v>0</v>
      </c>
      <c r="BQ108" s="529">
        <f t="shared" si="185"/>
        <v>0</v>
      </c>
      <c r="BR108" s="529">
        <f t="shared" si="186"/>
        <v>0</v>
      </c>
      <c r="BS108" s="529">
        <f t="shared" si="165"/>
        <v>0</v>
      </c>
      <c r="BT108" s="529">
        <f t="shared" si="187"/>
        <v>0</v>
      </c>
      <c r="BU108" s="529">
        <f t="shared" si="188"/>
        <v>0</v>
      </c>
      <c r="BV108" s="529">
        <f t="shared" si="189"/>
        <v>0</v>
      </c>
      <c r="BW108" s="532" t="str">
        <f t="shared" si="166"/>
        <v/>
      </c>
      <c r="BX108" s="532" t="str">
        <f t="shared" si="167"/>
        <v/>
      </c>
      <c r="BY108" s="532" t="str">
        <f t="shared" si="168"/>
        <v/>
      </c>
      <c r="BZ108" s="532" t="str">
        <f t="shared" si="169"/>
        <v/>
      </c>
      <c r="CA108" s="532">
        <f t="shared" si="170"/>
        <v>0</v>
      </c>
      <c r="CB108" s="533"/>
      <c r="CC108" s="624">
        <f t="shared" si="171"/>
        <v>0</v>
      </c>
      <c r="CD108" s="534">
        <f t="shared" si="172"/>
        <v>0</v>
      </c>
      <c r="CE108" s="534">
        <f t="shared" si="173"/>
        <v>0</v>
      </c>
      <c r="CF108" s="534">
        <f t="shared" si="174"/>
        <v>0</v>
      </c>
      <c r="CG108" s="534"/>
      <c r="CH108" s="534"/>
      <c r="CI108" s="534">
        <f t="shared" si="190"/>
        <v>0</v>
      </c>
      <c r="CL108" s="534">
        <f>IF(ISNA(VLOOKUP(I108,Veg_Parameters!$A$3:$N$65,13,FALSE)),0,(VLOOKUP(I108,Veg_Parameters!$A$3:$N$65,13,FALSE)))</f>
        <v>0</v>
      </c>
      <c r="CM108" s="534">
        <f t="shared" si="191"/>
        <v>0</v>
      </c>
      <c r="CN108" s="534">
        <f>IF(ISNA(VLOOKUP(N108,Veg_Parameters!$A$3:$N$65,13,FALSE)),0,(VLOOKUP(N108,Veg_Parameters!$A$3:$N$65,13,FALSE)))</f>
        <v>0</v>
      </c>
      <c r="CO108" s="523">
        <f t="shared" si="192"/>
        <v>0</v>
      </c>
    </row>
    <row r="109" spans="1:93" x14ac:dyDescent="0.2">
      <c r="A109" s="230"/>
      <c r="B109" s="171" t="str">
        <f t="shared" si="193"/>
        <v/>
      </c>
      <c r="C109" s="230"/>
      <c r="D109" s="169"/>
      <c r="E109" s="165"/>
      <c r="F109" s="165"/>
      <c r="G109" s="165"/>
      <c r="H109" s="165"/>
      <c r="I109" s="168"/>
      <c r="J109" s="167"/>
      <c r="K109" s="168"/>
      <c r="L109" s="167"/>
      <c r="M109" s="167"/>
      <c r="N109" s="168"/>
      <c r="O109" s="168"/>
      <c r="P109" s="167"/>
      <c r="Q109" s="167"/>
      <c r="R109" s="167"/>
      <c r="S109" s="222" t="str">
        <f>IF(ISBLANK(A109),"",IF(ISNA(VLOOKUP(I109,Veg_Parameters!$A$3:$N$65,3,FALSE)),0,(VLOOKUP(I109,Veg_Parameters!$A$3:$N$65,3,FALSE))))</f>
        <v/>
      </c>
      <c r="T109" s="222" t="str">
        <f>IF(ISBLANK(N109),"",IF(ISNA(VLOOKUP(N109,Veg_Parameters!$A$3:$N$65,3,FALSE)),0,(VLOOKUP(N109,Veg_Parameters!$A$3:$N$65,3,FALSE))))</f>
        <v/>
      </c>
      <c r="U109" s="523">
        <f t="shared" si="175"/>
        <v>0</v>
      </c>
      <c r="V109" s="523">
        <f t="shared" si="151"/>
        <v>0</v>
      </c>
      <c r="W109" s="524">
        <f>IF(ISBLANK(A109),0,IF(ISNA(VLOOKUP($I109,Veg_Parameters!$A$3:$N$65,10,FALSE)),0,(VLOOKUP($I109,Veg_Parameters!$A$3:$N$65,10,FALSE))))</f>
        <v>0</v>
      </c>
      <c r="X109" s="524">
        <f>IF(ISBLANK(A109),0,IF(ISNA(VLOOKUP($I109,Veg_Parameters!$A$3:$N$65,11,FALSE)),0,(VLOOKUP($I109,Veg_Parameters!$A$3:$N$65,11,FALSE))))</f>
        <v>0</v>
      </c>
      <c r="Y109" s="524">
        <f>IF(ISBLANK(A109),0,IF(ISNA(VLOOKUP($I109,Veg_Parameters!$A$3:$N$65,12,FALSE)),0,(VLOOKUP($I109,Veg_Parameters!$A$3:$N$65,12,FALSE))))</f>
        <v>0</v>
      </c>
      <c r="Z109" s="525">
        <f t="shared" si="152"/>
        <v>0</v>
      </c>
      <c r="AA109" s="525">
        <f t="shared" si="153"/>
        <v>0</v>
      </c>
      <c r="AB109" s="525">
        <f t="shared" si="154"/>
        <v>0</v>
      </c>
      <c r="AC109" s="524">
        <f>IF(ISBLANK(N109),0,IF(ISNA(VLOOKUP($N109,Veg_Parameters!$A$3:$N$65,10,FALSE)),0,(VLOOKUP($N109,Veg_Parameters!$A$3:$N$65,10,FALSE))))</f>
        <v>0</v>
      </c>
      <c r="AD109" s="524">
        <f>IF(ISBLANK(N109),0,IF(ISNA(VLOOKUP($N109,Veg_Parameters!$A$3:$N$65,11,FALSE)),0,(VLOOKUP($N109,Veg_Parameters!$A$3:$N$65,11,FALSE))))</f>
        <v>0</v>
      </c>
      <c r="AE109" s="524">
        <f>IF(ISBLANK(N109), 0, IF(ISNA(VLOOKUP($N109,Veg_Parameters!$A$3:$N$65,12,FALSE)),0,(VLOOKUP($N109,Veg_Parameters!$A$3:$N$65,12,FALSE))))</f>
        <v>0</v>
      </c>
      <c r="AF109" s="523">
        <f t="shared" si="155"/>
        <v>0</v>
      </c>
      <c r="AG109" s="523">
        <f t="shared" si="156"/>
        <v>0</v>
      </c>
      <c r="AH109" s="523">
        <f t="shared" si="157"/>
        <v>0</v>
      </c>
      <c r="AI109" s="526"/>
      <c r="AJ109" s="527">
        <f>AB109*(IF(ISNA(VLOOKUP($I109,Veg_Parameters!$A$3:$N$65,5,FALSE)),0,(VLOOKUP($I109,Veg_Parameters!$A$3:$N$65,5,FALSE))))</f>
        <v>0</v>
      </c>
      <c r="AK109" s="527">
        <f>IF(ISNA(VLOOKUP($I109,Veg_Parameters!$A$3:$N$65,4,FALSE)),0,(VLOOKUP($I109,Veg_Parameters!$A$3:$N$65,4,FALSE)))</f>
        <v>0</v>
      </c>
      <c r="AL109" s="527">
        <f>AB109*(IF(ISNA(VLOOKUP($I109,Veg_Parameters!$A$3:$N$65,7,FALSE)),0, (VLOOKUP($I109,Veg_Parameters!$A$3:$N$65,7,FALSE))))</f>
        <v>0</v>
      </c>
      <c r="AM109" s="528">
        <f>IF(ISNA(VLOOKUP($I109,Veg_Parameters!$A$3:$N$65,6,FALSE)), 0, (VLOOKUP($I109,Veg_Parameters!$A$3:$N$65,6,FALSE)))</f>
        <v>0</v>
      </c>
      <c r="AN109" s="529">
        <f t="shared" si="158"/>
        <v>20</v>
      </c>
      <c r="AO109" s="529">
        <f t="shared" si="159"/>
        <v>0</v>
      </c>
      <c r="AP109" s="529">
        <f t="shared" si="160"/>
        <v>0</v>
      </c>
      <c r="AQ109" s="530">
        <f t="shared" si="176"/>
        <v>0</v>
      </c>
      <c r="AR109" s="527" t="s">
        <v>3</v>
      </c>
      <c r="AS109" s="527">
        <f>IF(ISNA(VLOOKUP($I109,Veg_Parameters!$A$3:$N$65,8,FALSE)), 0, (VLOOKUP($I109,Veg_Parameters!$A$3:$N$65,8,FALSE)))</f>
        <v>0</v>
      </c>
      <c r="AT109" s="527">
        <f>AB109*(IF(ISNA(VLOOKUP($I109,Veg_Parameters!$A$3:$N$65,9,FALSE)), 0, (VLOOKUP($I109,Veg_Parameters!$A$3:$N$65,9,FALSE))))</f>
        <v>0</v>
      </c>
      <c r="AU109" s="527">
        <f>IF(ISBLANK(A109),0,VLOOKUP($I109,Veg_Parameters!$A$4:$U$65,21,))</f>
        <v>0</v>
      </c>
      <c r="AV109" s="527">
        <f t="shared" si="177"/>
        <v>0</v>
      </c>
      <c r="AW109" s="529">
        <f t="shared" si="178"/>
        <v>0</v>
      </c>
      <c r="AX109" s="529">
        <f t="shared" si="179"/>
        <v>0</v>
      </c>
      <c r="AY109" s="529">
        <f t="shared" si="161"/>
        <v>0</v>
      </c>
      <c r="AZ109" s="529">
        <f t="shared" si="180"/>
        <v>0</v>
      </c>
      <c r="BA109" s="529">
        <f t="shared" si="181"/>
        <v>0</v>
      </c>
      <c r="BB109" s="529">
        <f t="shared" si="182"/>
        <v>0</v>
      </c>
      <c r="BC109" s="529">
        <f t="shared" si="162"/>
        <v>0</v>
      </c>
      <c r="BD109" s="531"/>
      <c r="BE109" s="527">
        <f>AH109*(IF(ISNA(VLOOKUP($N109,Veg_Parameters!$A$3:$N$65,5,FALSE)),0,(VLOOKUP($N109,Veg_Parameters!$A$3:$N$65,5,FALSE))))</f>
        <v>0</v>
      </c>
      <c r="BF109" s="527">
        <f>IF(ISNA(VLOOKUP($N109,Veg_Parameters!$A$3:$N$65,4,FALSE)),0,(VLOOKUP($N109,Veg_Parameters!$A$3:$N$65,4,FALSE)))</f>
        <v>0</v>
      </c>
      <c r="BG109" s="527">
        <f>AH109*(IF(ISNA(VLOOKUP($N109,Veg_Parameters!$A$3:$N$65,7,FALSE)),0, (VLOOKUP($N109,Veg_Parameters!$A$3:$N$65,7,FALSE))))</f>
        <v>0</v>
      </c>
      <c r="BH109" s="527">
        <f>IF(ISNA(VLOOKUP($N109,Veg_Parameters!$A$3:$N$65,6,FALSE)), 0, (VLOOKUP($N109,Veg_Parameters!$A$3:$N$65,6,FALSE)))</f>
        <v>0</v>
      </c>
      <c r="BI109" s="529">
        <f t="shared" si="163"/>
        <v>20</v>
      </c>
      <c r="BJ109" s="529">
        <f t="shared" si="183"/>
        <v>0</v>
      </c>
      <c r="BK109" s="529">
        <f t="shared" si="164"/>
        <v>0</v>
      </c>
      <c r="BL109" s="530">
        <f t="shared" si="184"/>
        <v>0</v>
      </c>
      <c r="BM109" s="527" t="s">
        <v>3</v>
      </c>
      <c r="BN109" s="527">
        <f>IF(ISNA(VLOOKUP(N109,Veg_Parameters!$A$3:$N$65,8,FALSE)), 0, (VLOOKUP($N109,Veg_Parameters!$A$3:$N$65,8,FALSE)))</f>
        <v>0</v>
      </c>
      <c r="BO109" s="527">
        <f>AH109*(IF(ISNA(VLOOKUP($N109,Veg_Parameters!$A$3:$N$65,9,FALSE)), 0, (VLOOKUP($N109,Veg_Parameters!$A$3:$N$65,9,FALSE))))</f>
        <v>0</v>
      </c>
      <c r="BP109" s="527" t="str">
        <f>IF(ISBLANK(N109),"0",VLOOKUP($N109,Veg_Parameters!$A$4:$U$65,21,))</f>
        <v>0</v>
      </c>
      <c r="BQ109" s="529">
        <f t="shared" si="185"/>
        <v>0</v>
      </c>
      <c r="BR109" s="529">
        <f t="shared" si="186"/>
        <v>0</v>
      </c>
      <c r="BS109" s="529">
        <f t="shared" si="165"/>
        <v>0</v>
      </c>
      <c r="BT109" s="529">
        <f t="shared" si="187"/>
        <v>0</v>
      </c>
      <c r="BU109" s="529">
        <f t="shared" si="188"/>
        <v>0</v>
      </c>
      <c r="BV109" s="529">
        <f t="shared" si="189"/>
        <v>0</v>
      </c>
      <c r="BW109" s="532" t="str">
        <f t="shared" si="166"/>
        <v/>
      </c>
      <c r="BX109" s="532" t="str">
        <f t="shared" si="167"/>
        <v/>
      </c>
      <c r="BY109" s="532" t="str">
        <f t="shared" si="168"/>
        <v/>
      </c>
      <c r="BZ109" s="532" t="str">
        <f t="shared" si="169"/>
        <v/>
      </c>
      <c r="CA109" s="532">
        <f t="shared" si="170"/>
        <v>0</v>
      </c>
      <c r="CB109" s="533"/>
      <c r="CC109" s="624">
        <f t="shared" si="171"/>
        <v>0</v>
      </c>
      <c r="CD109" s="534">
        <f t="shared" si="172"/>
        <v>0</v>
      </c>
      <c r="CE109" s="534">
        <f t="shared" si="173"/>
        <v>0</v>
      </c>
      <c r="CF109" s="534">
        <f t="shared" si="174"/>
        <v>0</v>
      </c>
      <c r="CG109" s="534"/>
      <c r="CH109" s="534"/>
      <c r="CI109" s="534">
        <f t="shared" si="190"/>
        <v>0</v>
      </c>
      <c r="CL109" s="534">
        <f>IF(ISNA(VLOOKUP(I109,Veg_Parameters!$A$3:$N$65,13,FALSE)),0,(VLOOKUP(I109,Veg_Parameters!$A$3:$N$65,13,FALSE)))</f>
        <v>0</v>
      </c>
      <c r="CM109" s="534">
        <f t="shared" si="191"/>
        <v>0</v>
      </c>
      <c r="CN109" s="534">
        <f>IF(ISNA(VLOOKUP(N109,Veg_Parameters!$A$3:$N$65,13,FALSE)),0,(VLOOKUP(N109,Veg_Parameters!$A$3:$N$65,13,FALSE)))</f>
        <v>0</v>
      </c>
      <c r="CO109" s="523">
        <f t="shared" si="192"/>
        <v>0</v>
      </c>
    </row>
    <row r="110" spans="1:93" x14ac:dyDescent="0.2">
      <c r="A110" s="227"/>
      <c r="B110" s="171" t="str">
        <f t="shared" si="193"/>
        <v/>
      </c>
      <c r="C110" s="230"/>
      <c r="D110" s="169"/>
      <c r="E110" s="165"/>
      <c r="F110" s="165"/>
      <c r="G110" s="165"/>
      <c r="H110" s="165"/>
      <c r="I110" s="168"/>
      <c r="J110" s="167"/>
      <c r="K110" s="168"/>
      <c r="L110" s="167"/>
      <c r="M110" s="167"/>
      <c r="N110" s="168"/>
      <c r="O110" s="168"/>
      <c r="P110" s="167"/>
      <c r="Q110" s="167"/>
      <c r="R110" s="167"/>
      <c r="S110" s="222" t="str">
        <f>IF(ISBLANK(A110),"",IF(ISNA(VLOOKUP(I110,Veg_Parameters!$A$3:$N$65,3,FALSE)),0,(VLOOKUP(I110,Veg_Parameters!$A$3:$N$65,3,FALSE))))</f>
        <v/>
      </c>
      <c r="T110" s="222" t="str">
        <f>IF(ISBLANK(N110),"",IF(ISNA(VLOOKUP(N110,Veg_Parameters!$A$3:$N$65,3,FALSE)),0,(VLOOKUP(N110,Veg_Parameters!$A$3:$N$65,3,FALSE))))</f>
        <v/>
      </c>
      <c r="U110" s="523">
        <f t="shared" si="175"/>
        <v>0</v>
      </c>
      <c r="V110" s="523">
        <f t="shared" si="151"/>
        <v>0</v>
      </c>
      <c r="W110" s="524">
        <f>IF(ISBLANK(A110),0,IF(ISNA(VLOOKUP($I110,Veg_Parameters!$A$3:$N$65,10,FALSE)),0,(VLOOKUP($I110,Veg_Parameters!$A$3:$N$65,10,FALSE))))</f>
        <v>0</v>
      </c>
      <c r="X110" s="524">
        <f>IF(ISBLANK(A110),0,IF(ISNA(VLOOKUP($I110,Veg_Parameters!$A$3:$N$65,11,FALSE)),0,(VLOOKUP($I110,Veg_Parameters!$A$3:$N$65,11,FALSE))))</f>
        <v>0</v>
      </c>
      <c r="Y110" s="524">
        <f>IF(ISBLANK(A110),0,IF(ISNA(VLOOKUP($I110,Veg_Parameters!$A$3:$N$65,12,FALSE)),0,(VLOOKUP($I110,Veg_Parameters!$A$3:$N$65,12,FALSE))))</f>
        <v>0</v>
      </c>
      <c r="Z110" s="525">
        <f t="shared" si="152"/>
        <v>0</v>
      </c>
      <c r="AA110" s="525">
        <f t="shared" si="153"/>
        <v>0</v>
      </c>
      <c r="AB110" s="525">
        <f t="shared" si="154"/>
        <v>0</v>
      </c>
      <c r="AC110" s="524">
        <f>IF(ISBLANK(N110),0,IF(ISNA(VLOOKUP($N110,Veg_Parameters!$A$3:$N$65,10,FALSE)),0,(VLOOKUP($N110,Veg_Parameters!$A$3:$N$65,10,FALSE))))</f>
        <v>0</v>
      </c>
      <c r="AD110" s="524">
        <f>IF(ISBLANK(N110),0,IF(ISNA(VLOOKUP($N110,Veg_Parameters!$A$3:$N$65,11,FALSE)),0,(VLOOKUP($N110,Veg_Parameters!$A$3:$N$65,11,FALSE))))</f>
        <v>0</v>
      </c>
      <c r="AE110" s="524">
        <f>IF(ISBLANK(N110), 0, IF(ISNA(VLOOKUP($N110,Veg_Parameters!$A$3:$N$65,12,FALSE)),0,(VLOOKUP($N110,Veg_Parameters!$A$3:$N$65,12,FALSE))))</f>
        <v>0</v>
      </c>
      <c r="AF110" s="523">
        <f t="shared" si="155"/>
        <v>0</v>
      </c>
      <c r="AG110" s="523">
        <f t="shared" si="156"/>
        <v>0</v>
      </c>
      <c r="AH110" s="523">
        <f t="shared" si="157"/>
        <v>0</v>
      </c>
      <c r="AI110" s="526"/>
      <c r="AJ110" s="527">
        <f>AB110*(IF(ISNA(VLOOKUP($I110,Veg_Parameters!$A$3:$N$65,5,FALSE)),0,(VLOOKUP($I110,Veg_Parameters!$A$3:$N$65,5,FALSE))))</f>
        <v>0</v>
      </c>
      <c r="AK110" s="527">
        <f>IF(ISNA(VLOOKUP($I110,Veg_Parameters!$A$3:$N$65,4,FALSE)),0,(VLOOKUP($I110,Veg_Parameters!$A$3:$N$65,4,FALSE)))</f>
        <v>0</v>
      </c>
      <c r="AL110" s="527">
        <f>AB110*(IF(ISNA(VLOOKUP($I110,Veg_Parameters!$A$3:$N$65,7,FALSE)),0, (VLOOKUP($I110,Veg_Parameters!$A$3:$N$65,7,FALSE))))</f>
        <v>0</v>
      </c>
      <c r="AM110" s="528">
        <f>IF(ISNA(VLOOKUP($I110,Veg_Parameters!$A$3:$N$65,6,FALSE)), 0, (VLOOKUP($I110,Veg_Parameters!$A$3:$N$65,6,FALSE)))</f>
        <v>0</v>
      </c>
      <c r="AN110" s="529">
        <f t="shared" si="158"/>
        <v>20</v>
      </c>
      <c r="AO110" s="529">
        <f t="shared" si="159"/>
        <v>0</v>
      </c>
      <c r="AP110" s="529">
        <f t="shared" si="160"/>
        <v>0</v>
      </c>
      <c r="AQ110" s="530">
        <f t="shared" si="176"/>
        <v>0</v>
      </c>
      <c r="AR110" s="527" t="s">
        <v>3</v>
      </c>
      <c r="AS110" s="527">
        <f>IF(ISNA(VLOOKUP($I110,Veg_Parameters!$A$3:$N$65,8,FALSE)), 0, (VLOOKUP($I110,Veg_Parameters!$A$3:$N$65,8,FALSE)))</f>
        <v>0</v>
      </c>
      <c r="AT110" s="527">
        <f>AB110*(IF(ISNA(VLOOKUP($I110,Veg_Parameters!$A$3:$N$65,9,FALSE)), 0, (VLOOKUP($I110,Veg_Parameters!$A$3:$N$65,9,FALSE))))</f>
        <v>0</v>
      </c>
      <c r="AU110" s="527">
        <f>IF(ISBLANK(A110),0,VLOOKUP($I110,Veg_Parameters!$A$4:$U$65,21,))</f>
        <v>0</v>
      </c>
      <c r="AV110" s="527">
        <f t="shared" si="177"/>
        <v>0</v>
      </c>
      <c r="AW110" s="529">
        <f t="shared" si="178"/>
        <v>0</v>
      </c>
      <c r="AX110" s="529">
        <f t="shared" si="179"/>
        <v>0</v>
      </c>
      <c r="AY110" s="529">
        <f t="shared" si="161"/>
        <v>0</v>
      </c>
      <c r="AZ110" s="529">
        <f t="shared" si="180"/>
        <v>0</v>
      </c>
      <c r="BA110" s="529">
        <f t="shared" si="181"/>
        <v>0</v>
      </c>
      <c r="BB110" s="529">
        <f t="shared" si="182"/>
        <v>0</v>
      </c>
      <c r="BC110" s="529">
        <f t="shared" si="162"/>
        <v>0</v>
      </c>
      <c r="BD110" s="531"/>
      <c r="BE110" s="527">
        <f>AH110*(IF(ISNA(VLOOKUP($N110,Veg_Parameters!$A$3:$N$65,5,FALSE)),0,(VLOOKUP($N110,Veg_Parameters!$A$3:$N$65,5,FALSE))))</f>
        <v>0</v>
      </c>
      <c r="BF110" s="527">
        <f>IF(ISNA(VLOOKUP($N110,Veg_Parameters!$A$3:$N$65,4,FALSE)),0,(VLOOKUP($N110,Veg_Parameters!$A$3:$N$65,4,FALSE)))</f>
        <v>0</v>
      </c>
      <c r="BG110" s="527">
        <f>AH110*(IF(ISNA(VLOOKUP($N110,Veg_Parameters!$A$3:$N$65,7,FALSE)),0, (VLOOKUP($N110,Veg_Parameters!$A$3:$N$65,7,FALSE))))</f>
        <v>0</v>
      </c>
      <c r="BH110" s="527">
        <f>IF(ISNA(VLOOKUP($N110,Veg_Parameters!$A$3:$N$65,6,FALSE)), 0, (VLOOKUP($N110,Veg_Parameters!$A$3:$N$65,6,FALSE)))</f>
        <v>0</v>
      </c>
      <c r="BI110" s="529">
        <f t="shared" si="163"/>
        <v>20</v>
      </c>
      <c r="BJ110" s="529">
        <f t="shared" si="183"/>
        <v>0</v>
      </c>
      <c r="BK110" s="529">
        <f t="shared" si="164"/>
        <v>0</v>
      </c>
      <c r="BL110" s="530">
        <f t="shared" si="184"/>
        <v>0</v>
      </c>
      <c r="BM110" s="527" t="s">
        <v>3</v>
      </c>
      <c r="BN110" s="527">
        <f>IF(ISNA(VLOOKUP(N110,Veg_Parameters!$A$3:$N$65,8,FALSE)), 0, (VLOOKUP($N110,Veg_Parameters!$A$3:$N$65,8,FALSE)))</f>
        <v>0</v>
      </c>
      <c r="BO110" s="527">
        <f>AH110*(IF(ISNA(VLOOKUP($N110,Veg_Parameters!$A$3:$N$65,9,FALSE)), 0, (VLOOKUP($N110,Veg_Parameters!$A$3:$N$65,9,FALSE))))</f>
        <v>0</v>
      </c>
      <c r="BP110" s="527" t="str">
        <f>IF(ISBLANK(N110),"0",VLOOKUP($N110,Veg_Parameters!$A$4:$U$65,21,))</f>
        <v>0</v>
      </c>
      <c r="BQ110" s="529">
        <f t="shared" si="185"/>
        <v>0</v>
      </c>
      <c r="BR110" s="529">
        <f t="shared" si="186"/>
        <v>0</v>
      </c>
      <c r="BS110" s="529">
        <f t="shared" si="165"/>
        <v>0</v>
      </c>
      <c r="BT110" s="529">
        <f t="shared" si="187"/>
        <v>0</v>
      </c>
      <c r="BU110" s="529">
        <f t="shared" si="188"/>
        <v>0</v>
      </c>
      <c r="BV110" s="529">
        <f t="shared" si="189"/>
        <v>0</v>
      </c>
      <c r="BW110" s="532" t="str">
        <f t="shared" si="166"/>
        <v/>
      </c>
      <c r="BX110" s="532" t="str">
        <f t="shared" si="167"/>
        <v/>
      </c>
      <c r="BY110" s="532" t="str">
        <f t="shared" si="168"/>
        <v/>
      </c>
      <c r="BZ110" s="532" t="str">
        <f t="shared" si="169"/>
        <v/>
      </c>
      <c r="CA110" s="532">
        <f t="shared" si="170"/>
        <v>0</v>
      </c>
      <c r="CB110" s="533"/>
      <c r="CC110" s="624">
        <f t="shared" si="171"/>
        <v>0</v>
      </c>
      <c r="CD110" s="534">
        <f t="shared" si="172"/>
        <v>0</v>
      </c>
      <c r="CE110" s="534">
        <f t="shared" si="173"/>
        <v>0</v>
      </c>
      <c r="CF110" s="534">
        <f t="shared" si="174"/>
        <v>0</v>
      </c>
      <c r="CG110" s="534"/>
      <c r="CH110" s="534"/>
      <c r="CI110" s="534">
        <f t="shared" si="190"/>
        <v>0</v>
      </c>
      <c r="CL110" s="534">
        <f>IF(ISNA(VLOOKUP(I110,Veg_Parameters!$A$3:$N$65,13,FALSE)),0,(VLOOKUP(I110,Veg_Parameters!$A$3:$N$65,13,FALSE)))</f>
        <v>0</v>
      </c>
      <c r="CM110" s="534">
        <f t="shared" si="191"/>
        <v>0</v>
      </c>
      <c r="CN110" s="534">
        <f>IF(ISNA(VLOOKUP(N110,Veg_Parameters!$A$3:$N$65,13,FALSE)),0,(VLOOKUP(N110,Veg_Parameters!$A$3:$N$65,13,FALSE)))</f>
        <v>0</v>
      </c>
      <c r="CO110" s="523">
        <f t="shared" si="192"/>
        <v>0</v>
      </c>
    </row>
    <row r="111" spans="1:93" x14ac:dyDescent="0.2">
      <c r="A111" s="227"/>
      <c r="B111" s="171" t="str">
        <f t="shared" si="193"/>
        <v/>
      </c>
      <c r="C111" s="230"/>
      <c r="D111" s="169"/>
      <c r="E111" s="165"/>
      <c r="F111" s="165"/>
      <c r="G111" s="165"/>
      <c r="H111" s="165"/>
      <c r="I111" s="168"/>
      <c r="J111" s="167"/>
      <c r="K111" s="168"/>
      <c r="L111" s="167"/>
      <c r="M111" s="167"/>
      <c r="N111" s="168"/>
      <c r="O111" s="168"/>
      <c r="P111" s="167"/>
      <c r="Q111" s="167"/>
      <c r="R111" s="167"/>
      <c r="S111" s="222" t="str">
        <f>IF(ISBLANK(A111),"",IF(ISNA(VLOOKUP(I111,Veg_Parameters!$A$3:$N$65,3,FALSE)),0,(VLOOKUP(I111,Veg_Parameters!$A$3:$N$65,3,FALSE))))</f>
        <v/>
      </c>
      <c r="T111" s="222" t="str">
        <f>IF(ISBLANK(N111),"",IF(ISNA(VLOOKUP(N111,Veg_Parameters!$A$3:$N$65,3,FALSE)),0,(VLOOKUP(N111,Veg_Parameters!$A$3:$N$65,3,FALSE))))</f>
        <v/>
      </c>
      <c r="U111" s="523">
        <f t="shared" si="175"/>
        <v>0</v>
      </c>
      <c r="V111" s="523">
        <f t="shared" si="151"/>
        <v>0</v>
      </c>
      <c r="W111" s="524">
        <f>IF(ISBLANK(A111),0,IF(ISNA(VLOOKUP($I111,Veg_Parameters!$A$3:$N$65,10,FALSE)),0,(VLOOKUP($I111,Veg_Parameters!$A$3:$N$65,10,FALSE))))</f>
        <v>0</v>
      </c>
      <c r="X111" s="524">
        <f>IF(ISBLANK(A111),0,IF(ISNA(VLOOKUP($I111,Veg_Parameters!$A$3:$N$65,11,FALSE)),0,(VLOOKUP($I111,Veg_Parameters!$A$3:$N$65,11,FALSE))))</f>
        <v>0</v>
      </c>
      <c r="Y111" s="524">
        <f>IF(ISBLANK(A111),0,IF(ISNA(VLOOKUP($I111,Veg_Parameters!$A$3:$N$65,12,FALSE)),0,(VLOOKUP($I111,Veg_Parameters!$A$3:$N$65,12,FALSE))))</f>
        <v>0</v>
      </c>
      <c r="Z111" s="525">
        <f t="shared" si="152"/>
        <v>0</v>
      </c>
      <c r="AA111" s="525">
        <f t="shared" si="153"/>
        <v>0</v>
      </c>
      <c r="AB111" s="525">
        <f t="shared" si="154"/>
        <v>0</v>
      </c>
      <c r="AC111" s="524">
        <f>IF(ISBLANK(N111),0,IF(ISNA(VLOOKUP($N111,Veg_Parameters!$A$3:$N$65,10,FALSE)),0,(VLOOKUP($N111,Veg_Parameters!$A$3:$N$65,10,FALSE))))</f>
        <v>0</v>
      </c>
      <c r="AD111" s="524">
        <f>IF(ISBLANK(N111),0,IF(ISNA(VLOOKUP($N111,Veg_Parameters!$A$3:$N$65,11,FALSE)),0,(VLOOKUP($N111,Veg_Parameters!$A$3:$N$65,11,FALSE))))</f>
        <v>0</v>
      </c>
      <c r="AE111" s="524">
        <f>IF(ISBLANK(N111), 0, IF(ISNA(VLOOKUP($N111,Veg_Parameters!$A$3:$N$65,12,FALSE)),0,(VLOOKUP($N111,Veg_Parameters!$A$3:$N$65,12,FALSE))))</f>
        <v>0</v>
      </c>
      <c r="AF111" s="523">
        <f t="shared" si="155"/>
        <v>0</v>
      </c>
      <c r="AG111" s="523">
        <f t="shared" si="156"/>
        <v>0</v>
      </c>
      <c r="AH111" s="523">
        <f t="shared" si="157"/>
        <v>0</v>
      </c>
      <c r="AI111" s="526"/>
      <c r="AJ111" s="527">
        <f>AB111*(IF(ISNA(VLOOKUP($I111,Veg_Parameters!$A$3:$N$65,5,FALSE)),0,(VLOOKUP($I111,Veg_Parameters!$A$3:$N$65,5,FALSE))))</f>
        <v>0</v>
      </c>
      <c r="AK111" s="527">
        <f>IF(ISNA(VLOOKUP($I111,Veg_Parameters!$A$3:$N$65,4,FALSE)),0,(VLOOKUP($I111,Veg_Parameters!$A$3:$N$65,4,FALSE)))</f>
        <v>0</v>
      </c>
      <c r="AL111" s="527">
        <f>AB111*(IF(ISNA(VLOOKUP($I111,Veg_Parameters!$A$3:$N$65,7,FALSE)),0, (VLOOKUP($I111,Veg_Parameters!$A$3:$N$65,7,FALSE))))</f>
        <v>0</v>
      </c>
      <c r="AM111" s="528">
        <f>IF(ISNA(VLOOKUP($I111,Veg_Parameters!$A$3:$N$65,6,FALSE)), 0, (VLOOKUP($I111,Veg_Parameters!$A$3:$N$65,6,FALSE)))</f>
        <v>0</v>
      </c>
      <c r="AN111" s="529">
        <f t="shared" si="158"/>
        <v>20</v>
      </c>
      <c r="AO111" s="529">
        <f t="shared" si="159"/>
        <v>0</v>
      </c>
      <c r="AP111" s="529">
        <f t="shared" si="160"/>
        <v>0</v>
      </c>
      <c r="AQ111" s="530">
        <f t="shared" si="176"/>
        <v>0</v>
      </c>
      <c r="AR111" s="527" t="s">
        <v>3</v>
      </c>
      <c r="AS111" s="527">
        <f>IF(ISNA(VLOOKUP($I111,Veg_Parameters!$A$3:$N$65,8,FALSE)), 0, (VLOOKUP($I111,Veg_Parameters!$A$3:$N$65,8,FALSE)))</f>
        <v>0</v>
      </c>
      <c r="AT111" s="527">
        <f>AB111*(IF(ISNA(VLOOKUP($I111,Veg_Parameters!$A$3:$N$65,9,FALSE)), 0, (VLOOKUP($I111,Veg_Parameters!$A$3:$N$65,9,FALSE))))</f>
        <v>0</v>
      </c>
      <c r="AU111" s="527">
        <f>IF(ISBLANK(A111),0,VLOOKUP($I111,Veg_Parameters!$A$4:$U$65,21,))</f>
        <v>0</v>
      </c>
      <c r="AV111" s="527">
        <f t="shared" si="177"/>
        <v>0</v>
      </c>
      <c r="AW111" s="529">
        <f t="shared" si="178"/>
        <v>0</v>
      </c>
      <c r="AX111" s="529">
        <f t="shared" si="179"/>
        <v>0</v>
      </c>
      <c r="AY111" s="529">
        <f t="shared" si="161"/>
        <v>0</v>
      </c>
      <c r="AZ111" s="529">
        <f t="shared" si="180"/>
        <v>0</v>
      </c>
      <c r="BA111" s="529">
        <f t="shared" si="181"/>
        <v>0</v>
      </c>
      <c r="BB111" s="529">
        <f t="shared" si="182"/>
        <v>0</v>
      </c>
      <c r="BC111" s="529">
        <f t="shared" si="162"/>
        <v>0</v>
      </c>
      <c r="BD111" s="531"/>
      <c r="BE111" s="527">
        <f>AH111*(IF(ISNA(VLOOKUP($N111,Veg_Parameters!$A$3:$N$65,5,FALSE)),0,(VLOOKUP($N111,Veg_Parameters!$A$3:$N$65,5,FALSE))))</f>
        <v>0</v>
      </c>
      <c r="BF111" s="527">
        <f>IF(ISNA(VLOOKUP($N111,Veg_Parameters!$A$3:$N$65,4,FALSE)),0,(VLOOKUP($N111,Veg_Parameters!$A$3:$N$65,4,FALSE)))</f>
        <v>0</v>
      </c>
      <c r="BG111" s="527">
        <f>AH111*(IF(ISNA(VLOOKUP($N111,Veg_Parameters!$A$3:$N$65,7,FALSE)),0, (VLOOKUP($N111,Veg_Parameters!$A$3:$N$65,7,FALSE))))</f>
        <v>0</v>
      </c>
      <c r="BH111" s="527">
        <f>IF(ISNA(VLOOKUP($N111,Veg_Parameters!$A$3:$N$65,6,FALSE)), 0, (VLOOKUP($N111,Veg_Parameters!$A$3:$N$65,6,FALSE)))</f>
        <v>0</v>
      </c>
      <c r="BI111" s="529">
        <f t="shared" si="163"/>
        <v>20</v>
      </c>
      <c r="BJ111" s="529">
        <f t="shared" si="183"/>
        <v>0</v>
      </c>
      <c r="BK111" s="529">
        <f t="shared" si="164"/>
        <v>0</v>
      </c>
      <c r="BL111" s="530">
        <f t="shared" si="184"/>
        <v>0</v>
      </c>
      <c r="BM111" s="527" t="s">
        <v>3</v>
      </c>
      <c r="BN111" s="527">
        <f>IF(ISNA(VLOOKUP(N111,Veg_Parameters!$A$3:$N$65,8,FALSE)), 0, (VLOOKUP($N111,Veg_Parameters!$A$3:$N$65,8,FALSE)))</f>
        <v>0</v>
      </c>
      <c r="BO111" s="527">
        <f>AH111*(IF(ISNA(VLOOKUP($N111,Veg_Parameters!$A$3:$N$65,9,FALSE)), 0, (VLOOKUP($N111,Veg_Parameters!$A$3:$N$65,9,FALSE))))</f>
        <v>0</v>
      </c>
      <c r="BP111" s="527" t="str">
        <f>IF(ISBLANK(N111),"0",VLOOKUP($N111,Veg_Parameters!$A$4:$U$65,21,))</f>
        <v>0</v>
      </c>
      <c r="BQ111" s="529">
        <f t="shared" si="185"/>
        <v>0</v>
      </c>
      <c r="BR111" s="529">
        <f t="shared" si="186"/>
        <v>0</v>
      </c>
      <c r="BS111" s="529">
        <f t="shared" si="165"/>
        <v>0</v>
      </c>
      <c r="BT111" s="529">
        <f t="shared" si="187"/>
        <v>0</v>
      </c>
      <c r="BU111" s="529">
        <f t="shared" si="188"/>
        <v>0</v>
      </c>
      <c r="BV111" s="529">
        <f t="shared" si="189"/>
        <v>0</v>
      </c>
      <c r="BW111" s="532" t="str">
        <f t="shared" si="166"/>
        <v/>
      </c>
      <c r="BX111" s="532" t="str">
        <f t="shared" si="167"/>
        <v/>
      </c>
      <c r="BY111" s="532" t="str">
        <f t="shared" si="168"/>
        <v/>
      </c>
      <c r="BZ111" s="532" t="str">
        <f t="shared" si="169"/>
        <v/>
      </c>
      <c r="CA111" s="532">
        <f t="shared" si="170"/>
        <v>0</v>
      </c>
      <c r="CB111" s="533"/>
      <c r="CC111" s="624">
        <f t="shared" si="171"/>
        <v>0</v>
      </c>
      <c r="CD111" s="534">
        <f t="shared" si="172"/>
        <v>0</v>
      </c>
      <c r="CE111" s="534">
        <f t="shared" si="173"/>
        <v>0</v>
      </c>
      <c r="CF111" s="534">
        <f t="shared" si="174"/>
        <v>0</v>
      </c>
      <c r="CG111" s="534"/>
      <c r="CH111" s="534"/>
      <c r="CI111" s="534">
        <f t="shared" si="190"/>
        <v>0</v>
      </c>
      <c r="CL111" s="534">
        <f>IF(ISNA(VLOOKUP(I111,Veg_Parameters!$A$3:$N$65,13,FALSE)),0,(VLOOKUP(I111,Veg_Parameters!$A$3:$N$65,13,FALSE)))</f>
        <v>0</v>
      </c>
      <c r="CM111" s="534">
        <f t="shared" si="191"/>
        <v>0</v>
      </c>
      <c r="CN111" s="534">
        <f>IF(ISNA(VLOOKUP(N111,Veg_Parameters!$A$3:$N$65,13,FALSE)),0,(VLOOKUP(N111,Veg_Parameters!$A$3:$N$65,13,FALSE)))</f>
        <v>0</v>
      </c>
      <c r="CO111" s="523">
        <f t="shared" si="192"/>
        <v>0</v>
      </c>
    </row>
    <row r="112" spans="1:93" x14ac:dyDescent="0.2">
      <c r="A112" s="227"/>
      <c r="B112" s="171" t="str">
        <f t="shared" si="193"/>
        <v/>
      </c>
      <c r="C112" s="230"/>
      <c r="D112" s="169"/>
      <c r="E112" s="165"/>
      <c r="F112" s="165"/>
      <c r="G112" s="165"/>
      <c r="H112" s="165"/>
      <c r="I112" s="168"/>
      <c r="J112" s="167"/>
      <c r="K112" s="168"/>
      <c r="L112" s="167"/>
      <c r="M112" s="167"/>
      <c r="N112" s="168"/>
      <c r="O112" s="168"/>
      <c r="P112" s="167"/>
      <c r="Q112" s="167"/>
      <c r="R112" s="167"/>
      <c r="S112" s="222" t="str">
        <f>IF(ISBLANK(A112),"",IF(ISNA(VLOOKUP(I112,Veg_Parameters!$A$3:$N$65,3,FALSE)),0,(VLOOKUP(I112,Veg_Parameters!$A$3:$N$65,3,FALSE))))</f>
        <v/>
      </c>
      <c r="T112" s="222" t="str">
        <f>IF(ISBLANK(N112),"",IF(ISNA(VLOOKUP(N112,Veg_Parameters!$A$3:$N$65,3,FALSE)),0,(VLOOKUP(N112,Veg_Parameters!$A$3:$N$65,3,FALSE))))</f>
        <v/>
      </c>
      <c r="U112" s="523">
        <f t="shared" si="175"/>
        <v>0</v>
      </c>
      <c r="V112" s="523">
        <f t="shared" si="151"/>
        <v>0</v>
      </c>
      <c r="W112" s="524">
        <f>IF(ISBLANK(A112),0,IF(ISNA(VLOOKUP($I112,Veg_Parameters!$A$3:$N$65,10,FALSE)),0,(VLOOKUP($I112,Veg_Parameters!$A$3:$N$65,10,FALSE))))</f>
        <v>0</v>
      </c>
      <c r="X112" s="524">
        <f>IF(ISBLANK(A112),0,IF(ISNA(VLOOKUP($I112,Veg_Parameters!$A$3:$N$65,11,FALSE)),0,(VLOOKUP($I112,Veg_Parameters!$A$3:$N$65,11,FALSE))))</f>
        <v>0</v>
      </c>
      <c r="Y112" s="524">
        <f>IF(ISBLANK(A112),0,IF(ISNA(VLOOKUP($I112,Veg_Parameters!$A$3:$N$65,12,FALSE)),0,(VLOOKUP($I112,Veg_Parameters!$A$3:$N$65,12,FALSE))))</f>
        <v>0</v>
      </c>
      <c r="Z112" s="525">
        <f t="shared" si="152"/>
        <v>0</v>
      </c>
      <c r="AA112" s="525">
        <f t="shared" si="153"/>
        <v>0</v>
      </c>
      <c r="AB112" s="525">
        <f t="shared" si="154"/>
        <v>0</v>
      </c>
      <c r="AC112" s="524">
        <f>IF(ISBLANK(N112),0,IF(ISNA(VLOOKUP($N112,Veg_Parameters!$A$3:$N$65,10,FALSE)),0,(VLOOKUP($N112,Veg_Parameters!$A$3:$N$65,10,FALSE))))</f>
        <v>0</v>
      </c>
      <c r="AD112" s="524">
        <f>IF(ISBLANK(N112),0,IF(ISNA(VLOOKUP($N112,Veg_Parameters!$A$3:$N$65,11,FALSE)),0,(VLOOKUP($N112,Veg_Parameters!$A$3:$N$65,11,FALSE))))</f>
        <v>0</v>
      </c>
      <c r="AE112" s="524">
        <f>IF(ISBLANK(N112), 0, IF(ISNA(VLOOKUP($N112,Veg_Parameters!$A$3:$N$65,12,FALSE)),0,(VLOOKUP($N112,Veg_Parameters!$A$3:$N$65,12,FALSE))))</f>
        <v>0</v>
      </c>
      <c r="AF112" s="523">
        <f t="shared" si="155"/>
        <v>0</v>
      </c>
      <c r="AG112" s="523">
        <f t="shared" si="156"/>
        <v>0</v>
      </c>
      <c r="AH112" s="523">
        <f t="shared" si="157"/>
        <v>0</v>
      </c>
      <c r="AI112" s="526"/>
      <c r="AJ112" s="527">
        <f>AB112*(IF(ISNA(VLOOKUP($I112,Veg_Parameters!$A$3:$N$65,5,FALSE)),0,(VLOOKUP($I112,Veg_Parameters!$A$3:$N$65,5,FALSE))))</f>
        <v>0</v>
      </c>
      <c r="AK112" s="527">
        <f>IF(ISNA(VLOOKUP($I112,Veg_Parameters!$A$3:$N$65,4,FALSE)),0,(VLOOKUP($I112,Veg_Parameters!$A$3:$N$65,4,FALSE)))</f>
        <v>0</v>
      </c>
      <c r="AL112" s="527">
        <f>AB112*(IF(ISNA(VLOOKUP($I112,Veg_Parameters!$A$3:$N$65,7,FALSE)),0, (VLOOKUP($I112,Veg_Parameters!$A$3:$N$65,7,FALSE))))</f>
        <v>0</v>
      </c>
      <c r="AM112" s="528">
        <f>IF(ISNA(VLOOKUP($I112,Veg_Parameters!$A$3:$N$65,6,FALSE)), 0, (VLOOKUP($I112,Veg_Parameters!$A$3:$N$65,6,FALSE)))</f>
        <v>0</v>
      </c>
      <c r="AN112" s="529">
        <f t="shared" si="158"/>
        <v>20</v>
      </c>
      <c r="AO112" s="529">
        <f t="shared" si="159"/>
        <v>0</v>
      </c>
      <c r="AP112" s="529">
        <f t="shared" si="160"/>
        <v>0</v>
      </c>
      <c r="AQ112" s="530">
        <f t="shared" si="176"/>
        <v>0</v>
      </c>
      <c r="AR112" s="527" t="s">
        <v>3</v>
      </c>
      <c r="AS112" s="527">
        <f>IF(ISNA(VLOOKUP($I112,Veg_Parameters!$A$3:$N$65,8,FALSE)), 0, (VLOOKUP($I112,Veg_Parameters!$A$3:$N$65,8,FALSE)))</f>
        <v>0</v>
      </c>
      <c r="AT112" s="527">
        <f>AB112*(IF(ISNA(VLOOKUP($I112,Veg_Parameters!$A$3:$N$65,9,FALSE)), 0, (VLOOKUP($I112,Veg_Parameters!$A$3:$N$65,9,FALSE))))</f>
        <v>0</v>
      </c>
      <c r="AU112" s="527">
        <f>IF(ISBLANK(A112),0,VLOOKUP($I112,Veg_Parameters!$A$4:$U$65,21,))</f>
        <v>0</v>
      </c>
      <c r="AV112" s="527">
        <f t="shared" si="177"/>
        <v>0</v>
      </c>
      <c r="AW112" s="529">
        <f t="shared" si="178"/>
        <v>0</v>
      </c>
      <c r="AX112" s="529">
        <f t="shared" si="179"/>
        <v>0</v>
      </c>
      <c r="AY112" s="529">
        <f t="shared" si="161"/>
        <v>0</v>
      </c>
      <c r="AZ112" s="529">
        <f t="shared" si="180"/>
        <v>0</v>
      </c>
      <c r="BA112" s="529">
        <f t="shared" si="181"/>
        <v>0</v>
      </c>
      <c r="BB112" s="529">
        <f t="shared" si="182"/>
        <v>0</v>
      </c>
      <c r="BC112" s="529">
        <f t="shared" si="162"/>
        <v>0</v>
      </c>
      <c r="BD112" s="531"/>
      <c r="BE112" s="527">
        <f>AH112*(IF(ISNA(VLOOKUP($N112,Veg_Parameters!$A$3:$N$65,5,FALSE)),0,(VLOOKUP($N112,Veg_Parameters!$A$3:$N$65,5,FALSE))))</f>
        <v>0</v>
      </c>
      <c r="BF112" s="527">
        <f>IF(ISNA(VLOOKUP($N112,Veg_Parameters!$A$3:$N$65,4,FALSE)),0,(VLOOKUP($N112,Veg_Parameters!$A$3:$N$65,4,FALSE)))</f>
        <v>0</v>
      </c>
      <c r="BG112" s="527">
        <f>AH112*(IF(ISNA(VLOOKUP($N112,Veg_Parameters!$A$3:$N$65,7,FALSE)),0, (VLOOKUP($N112,Veg_Parameters!$A$3:$N$65,7,FALSE))))</f>
        <v>0</v>
      </c>
      <c r="BH112" s="527">
        <f>IF(ISNA(VLOOKUP($N112,Veg_Parameters!$A$3:$N$65,6,FALSE)), 0, (VLOOKUP($N112,Veg_Parameters!$A$3:$N$65,6,FALSE)))</f>
        <v>0</v>
      </c>
      <c r="BI112" s="529">
        <f t="shared" si="163"/>
        <v>20</v>
      </c>
      <c r="BJ112" s="529">
        <f t="shared" si="183"/>
        <v>0</v>
      </c>
      <c r="BK112" s="529">
        <f t="shared" si="164"/>
        <v>0</v>
      </c>
      <c r="BL112" s="530">
        <f t="shared" si="184"/>
        <v>0</v>
      </c>
      <c r="BM112" s="527" t="s">
        <v>3</v>
      </c>
      <c r="BN112" s="527">
        <f>IF(ISNA(VLOOKUP(N112,Veg_Parameters!$A$3:$N$65,8,FALSE)), 0, (VLOOKUP($N112,Veg_Parameters!$A$3:$N$65,8,FALSE)))</f>
        <v>0</v>
      </c>
      <c r="BO112" s="527">
        <f>AH112*(IF(ISNA(VLOOKUP($N112,Veg_Parameters!$A$3:$N$65,9,FALSE)), 0, (VLOOKUP($N112,Veg_Parameters!$A$3:$N$65,9,FALSE))))</f>
        <v>0</v>
      </c>
      <c r="BP112" s="527" t="str">
        <f>IF(ISBLANK(N112),"0",VLOOKUP($N112,Veg_Parameters!$A$4:$U$65,21,))</f>
        <v>0</v>
      </c>
      <c r="BQ112" s="529">
        <f t="shared" si="185"/>
        <v>0</v>
      </c>
      <c r="BR112" s="529">
        <f t="shared" si="186"/>
        <v>0</v>
      </c>
      <c r="BS112" s="529">
        <f t="shared" si="165"/>
        <v>0</v>
      </c>
      <c r="BT112" s="529">
        <f t="shared" si="187"/>
        <v>0</v>
      </c>
      <c r="BU112" s="529">
        <f t="shared" si="188"/>
        <v>0</v>
      </c>
      <c r="BV112" s="529">
        <f t="shared" si="189"/>
        <v>0</v>
      </c>
      <c r="BW112" s="532" t="str">
        <f t="shared" si="166"/>
        <v/>
      </c>
      <c r="BX112" s="532" t="str">
        <f t="shared" si="167"/>
        <v/>
      </c>
      <c r="BY112" s="532" t="str">
        <f t="shared" si="168"/>
        <v/>
      </c>
      <c r="BZ112" s="532" t="str">
        <f t="shared" si="169"/>
        <v/>
      </c>
      <c r="CA112" s="532">
        <f t="shared" si="170"/>
        <v>0</v>
      </c>
      <c r="CB112" s="533"/>
      <c r="CC112" s="624">
        <f t="shared" si="171"/>
        <v>0</v>
      </c>
      <c r="CD112" s="534">
        <f t="shared" si="172"/>
        <v>0</v>
      </c>
      <c r="CE112" s="534">
        <f t="shared" si="173"/>
        <v>0</v>
      </c>
      <c r="CF112" s="534">
        <f t="shared" si="174"/>
        <v>0</v>
      </c>
      <c r="CG112" s="534"/>
      <c r="CH112" s="534"/>
      <c r="CI112" s="534">
        <f t="shared" si="190"/>
        <v>0</v>
      </c>
      <c r="CL112" s="534">
        <f>IF(ISNA(VLOOKUP(I112,Veg_Parameters!$A$3:$N$65,13,FALSE)),0,(VLOOKUP(I112,Veg_Parameters!$A$3:$N$65,13,FALSE)))</f>
        <v>0</v>
      </c>
      <c r="CM112" s="534">
        <f t="shared" si="191"/>
        <v>0</v>
      </c>
      <c r="CN112" s="534">
        <f>IF(ISNA(VLOOKUP(N112,Veg_Parameters!$A$3:$N$65,13,FALSE)),0,(VLOOKUP(N112,Veg_Parameters!$A$3:$N$65,13,FALSE)))</f>
        <v>0</v>
      </c>
      <c r="CO112" s="523">
        <f t="shared" si="192"/>
        <v>0</v>
      </c>
    </row>
    <row r="113" spans="1:93" x14ac:dyDescent="0.2">
      <c r="A113" s="227"/>
      <c r="B113" s="171" t="str">
        <f t="shared" si="193"/>
        <v/>
      </c>
      <c r="C113" s="230"/>
      <c r="D113" s="169"/>
      <c r="E113" s="165"/>
      <c r="F113" s="165"/>
      <c r="G113" s="165"/>
      <c r="H113" s="165"/>
      <c r="I113" s="168"/>
      <c r="J113" s="167"/>
      <c r="K113" s="168"/>
      <c r="L113" s="167"/>
      <c r="M113" s="167"/>
      <c r="N113" s="168"/>
      <c r="O113" s="168"/>
      <c r="P113" s="167"/>
      <c r="Q113" s="167"/>
      <c r="R113" s="167"/>
      <c r="S113" s="222" t="str">
        <f>IF(ISBLANK(A113),"",IF(ISNA(VLOOKUP(I113,Veg_Parameters!$A$3:$N$65,3,FALSE)),0,(VLOOKUP(I113,Veg_Parameters!$A$3:$N$65,3,FALSE))))</f>
        <v/>
      </c>
      <c r="T113" s="222" t="str">
        <f>IF(ISBLANK(N113),"",IF(ISNA(VLOOKUP(N113,Veg_Parameters!$A$3:$N$65,3,FALSE)),0,(VLOOKUP(N113,Veg_Parameters!$A$3:$N$65,3,FALSE))))</f>
        <v/>
      </c>
      <c r="U113" s="523">
        <f t="shared" si="175"/>
        <v>0</v>
      </c>
      <c r="V113" s="523">
        <f t="shared" si="151"/>
        <v>0</v>
      </c>
      <c r="W113" s="524">
        <f>IF(ISBLANK(A113),0,IF(ISNA(VLOOKUP($I113,Veg_Parameters!$A$3:$N$65,10,FALSE)),0,(VLOOKUP($I113,Veg_Parameters!$A$3:$N$65,10,FALSE))))</f>
        <v>0</v>
      </c>
      <c r="X113" s="524">
        <f>IF(ISBLANK(A113),0,IF(ISNA(VLOOKUP($I113,Veg_Parameters!$A$3:$N$65,11,FALSE)),0,(VLOOKUP($I113,Veg_Parameters!$A$3:$N$65,11,FALSE))))</f>
        <v>0</v>
      </c>
      <c r="Y113" s="524">
        <f>IF(ISBLANK(A113),0,IF(ISNA(VLOOKUP($I113,Veg_Parameters!$A$3:$N$65,12,FALSE)),0,(VLOOKUP($I113,Veg_Parameters!$A$3:$N$65,12,FALSE))))</f>
        <v>0</v>
      </c>
      <c r="Z113" s="525">
        <f t="shared" si="152"/>
        <v>0</v>
      </c>
      <c r="AA113" s="525">
        <f t="shared" si="153"/>
        <v>0</v>
      </c>
      <c r="AB113" s="525">
        <f t="shared" si="154"/>
        <v>0</v>
      </c>
      <c r="AC113" s="524">
        <f>IF(ISBLANK(N113),0,IF(ISNA(VLOOKUP($N113,Veg_Parameters!$A$3:$N$65,10,FALSE)),0,(VLOOKUP($N113,Veg_Parameters!$A$3:$N$65,10,FALSE))))</f>
        <v>0</v>
      </c>
      <c r="AD113" s="524">
        <f>IF(ISBLANK(N113),0,IF(ISNA(VLOOKUP($N113,Veg_Parameters!$A$3:$N$65,11,FALSE)),0,(VLOOKUP($N113,Veg_Parameters!$A$3:$N$65,11,FALSE))))</f>
        <v>0</v>
      </c>
      <c r="AE113" s="524">
        <f>IF(ISBLANK(N113), 0, IF(ISNA(VLOOKUP($N113,Veg_Parameters!$A$3:$N$65,12,FALSE)),0,(VLOOKUP($N113,Veg_Parameters!$A$3:$N$65,12,FALSE))))</f>
        <v>0</v>
      </c>
      <c r="AF113" s="523">
        <f t="shared" si="155"/>
        <v>0</v>
      </c>
      <c r="AG113" s="523">
        <f t="shared" si="156"/>
        <v>0</v>
      </c>
      <c r="AH113" s="523">
        <f t="shared" si="157"/>
        <v>0</v>
      </c>
      <c r="AI113" s="526"/>
      <c r="AJ113" s="527">
        <f>AB113*(IF(ISNA(VLOOKUP($I113,Veg_Parameters!$A$3:$N$65,5,FALSE)),0,(VLOOKUP($I113,Veg_Parameters!$A$3:$N$65,5,FALSE))))</f>
        <v>0</v>
      </c>
      <c r="AK113" s="527">
        <f>IF(ISNA(VLOOKUP($I113,Veg_Parameters!$A$3:$N$65,4,FALSE)),0,(VLOOKUP($I113,Veg_Parameters!$A$3:$N$65,4,FALSE)))</f>
        <v>0</v>
      </c>
      <c r="AL113" s="527">
        <f>AB113*(IF(ISNA(VLOOKUP($I113,Veg_Parameters!$A$3:$N$65,7,FALSE)),0, (VLOOKUP($I113,Veg_Parameters!$A$3:$N$65,7,FALSE))))</f>
        <v>0</v>
      </c>
      <c r="AM113" s="528">
        <f>IF(ISNA(VLOOKUP($I113,Veg_Parameters!$A$3:$N$65,6,FALSE)), 0, (VLOOKUP($I113,Veg_Parameters!$A$3:$N$65,6,FALSE)))</f>
        <v>0</v>
      </c>
      <c r="AN113" s="529">
        <f t="shared" si="158"/>
        <v>20</v>
      </c>
      <c r="AO113" s="529">
        <f t="shared" si="159"/>
        <v>0</v>
      </c>
      <c r="AP113" s="529">
        <f t="shared" si="160"/>
        <v>0</v>
      </c>
      <c r="AQ113" s="530">
        <f t="shared" si="176"/>
        <v>0</v>
      </c>
      <c r="AR113" s="527" t="s">
        <v>3</v>
      </c>
      <c r="AS113" s="527">
        <f>IF(ISNA(VLOOKUP($I113,Veg_Parameters!$A$3:$N$65,8,FALSE)), 0, (VLOOKUP($I113,Veg_Parameters!$A$3:$N$65,8,FALSE)))</f>
        <v>0</v>
      </c>
      <c r="AT113" s="527">
        <f>AB113*(IF(ISNA(VLOOKUP($I113,Veg_Parameters!$A$3:$N$65,9,FALSE)), 0, (VLOOKUP($I113,Veg_Parameters!$A$3:$N$65,9,FALSE))))</f>
        <v>0</v>
      </c>
      <c r="AU113" s="527">
        <f>IF(ISBLANK(A113),0,VLOOKUP($I113,Veg_Parameters!$A$4:$U$65,21,))</f>
        <v>0</v>
      </c>
      <c r="AV113" s="527">
        <f t="shared" si="177"/>
        <v>0</v>
      </c>
      <c r="AW113" s="529">
        <f t="shared" si="178"/>
        <v>0</v>
      </c>
      <c r="AX113" s="529">
        <f t="shared" si="179"/>
        <v>0</v>
      </c>
      <c r="AY113" s="529">
        <f t="shared" si="161"/>
        <v>0</v>
      </c>
      <c r="AZ113" s="529">
        <f t="shared" si="180"/>
        <v>0</v>
      </c>
      <c r="BA113" s="529">
        <f t="shared" si="181"/>
        <v>0</v>
      </c>
      <c r="BB113" s="529">
        <f t="shared" si="182"/>
        <v>0</v>
      </c>
      <c r="BC113" s="529">
        <f t="shared" si="162"/>
        <v>0</v>
      </c>
      <c r="BD113" s="531"/>
      <c r="BE113" s="527">
        <f>AH113*(IF(ISNA(VLOOKUP($N113,Veg_Parameters!$A$3:$N$65,5,FALSE)),0,(VLOOKUP($N113,Veg_Parameters!$A$3:$N$65,5,FALSE))))</f>
        <v>0</v>
      </c>
      <c r="BF113" s="527">
        <f>IF(ISNA(VLOOKUP($N113,Veg_Parameters!$A$3:$N$65,4,FALSE)),0,(VLOOKUP($N113,Veg_Parameters!$A$3:$N$65,4,FALSE)))</f>
        <v>0</v>
      </c>
      <c r="BG113" s="527">
        <f>AH113*(IF(ISNA(VLOOKUP($N113,Veg_Parameters!$A$3:$N$65,7,FALSE)),0, (VLOOKUP($N113,Veg_Parameters!$A$3:$N$65,7,FALSE))))</f>
        <v>0</v>
      </c>
      <c r="BH113" s="527">
        <f>IF(ISNA(VLOOKUP($N113,Veg_Parameters!$A$3:$N$65,6,FALSE)), 0, (VLOOKUP($N113,Veg_Parameters!$A$3:$N$65,6,FALSE)))</f>
        <v>0</v>
      </c>
      <c r="BI113" s="529">
        <f t="shared" si="163"/>
        <v>20</v>
      </c>
      <c r="BJ113" s="529">
        <f t="shared" si="183"/>
        <v>0</v>
      </c>
      <c r="BK113" s="529">
        <f t="shared" si="164"/>
        <v>0</v>
      </c>
      <c r="BL113" s="530">
        <f t="shared" si="184"/>
        <v>0</v>
      </c>
      <c r="BM113" s="527" t="s">
        <v>3</v>
      </c>
      <c r="BN113" s="527">
        <f>IF(ISNA(VLOOKUP(N113,Veg_Parameters!$A$3:$N$65,8,FALSE)), 0, (VLOOKUP($N113,Veg_Parameters!$A$3:$N$65,8,FALSE)))</f>
        <v>0</v>
      </c>
      <c r="BO113" s="527">
        <f>AH113*(IF(ISNA(VLOOKUP($N113,Veg_Parameters!$A$3:$N$65,9,FALSE)), 0, (VLOOKUP($N113,Veg_Parameters!$A$3:$N$65,9,FALSE))))</f>
        <v>0</v>
      </c>
      <c r="BP113" s="527" t="str">
        <f>IF(ISBLANK(N113),"0",VLOOKUP($N113,Veg_Parameters!$A$4:$U$65,21,))</f>
        <v>0</v>
      </c>
      <c r="BQ113" s="529">
        <f t="shared" si="185"/>
        <v>0</v>
      </c>
      <c r="BR113" s="529">
        <f t="shared" si="186"/>
        <v>0</v>
      </c>
      <c r="BS113" s="529">
        <f t="shared" si="165"/>
        <v>0</v>
      </c>
      <c r="BT113" s="529">
        <f t="shared" si="187"/>
        <v>0</v>
      </c>
      <c r="BU113" s="529">
        <f t="shared" si="188"/>
        <v>0</v>
      </c>
      <c r="BV113" s="529">
        <f t="shared" si="189"/>
        <v>0</v>
      </c>
      <c r="BW113" s="532" t="str">
        <f t="shared" si="166"/>
        <v/>
      </c>
      <c r="BX113" s="532" t="str">
        <f t="shared" si="167"/>
        <v/>
      </c>
      <c r="BY113" s="532" t="str">
        <f t="shared" si="168"/>
        <v/>
      </c>
      <c r="BZ113" s="532" t="str">
        <f t="shared" si="169"/>
        <v/>
      </c>
      <c r="CA113" s="532">
        <f t="shared" si="170"/>
        <v>0</v>
      </c>
      <c r="CB113" s="533"/>
      <c r="CC113" s="624">
        <f t="shared" si="171"/>
        <v>0</v>
      </c>
      <c r="CD113" s="534">
        <f t="shared" si="172"/>
        <v>0</v>
      </c>
      <c r="CE113" s="534">
        <f t="shared" si="173"/>
        <v>0</v>
      </c>
      <c r="CF113" s="534">
        <f t="shared" si="174"/>
        <v>0</v>
      </c>
      <c r="CG113" s="534"/>
      <c r="CH113" s="534"/>
      <c r="CI113" s="534">
        <f t="shared" si="190"/>
        <v>0</v>
      </c>
      <c r="CL113" s="534">
        <f>IF(ISNA(VLOOKUP(I113,Veg_Parameters!$A$3:$N$65,13,FALSE)),0,(VLOOKUP(I113,Veg_Parameters!$A$3:$N$65,13,FALSE)))</f>
        <v>0</v>
      </c>
      <c r="CM113" s="534">
        <f t="shared" si="191"/>
        <v>0</v>
      </c>
      <c r="CN113" s="534">
        <f>IF(ISNA(VLOOKUP(N113,Veg_Parameters!$A$3:$N$65,13,FALSE)),0,(VLOOKUP(N113,Veg_Parameters!$A$3:$N$65,13,FALSE)))</f>
        <v>0</v>
      </c>
      <c r="CO113" s="523">
        <f t="shared" si="192"/>
        <v>0</v>
      </c>
    </row>
    <row r="114" spans="1:93" x14ac:dyDescent="0.2">
      <c r="A114" s="227"/>
      <c r="B114" s="171" t="str">
        <f t="shared" si="193"/>
        <v/>
      </c>
      <c r="C114" s="292" t="s">
        <v>27</v>
      </c>
      <c r="D114" s="234"/>
      <c r="E114" s="165"/>
      <c r="F114" s="165"/>
      <c r="G114" s="165"/>
      <c r="H114" s="165"/>
      <c r="I114" s="168"/>
      <c r="J114" s="167"/>
      <c r="K114" s="168"/>
      <c r="L114" s="167"/>
      <c r="M114" s="167"/>
      <c r="N114" s="168"/>
      <c r="O114" s="168"/>
      <c r="P114" s="167"/>
      <c r="Q114" s="167"/>
      <c r="R114" s="167"/>
      <c r="S114" s="222" t="str">
        <f>IF(ISBLANK(A114),"",IF(ISNA(VLOOKUP(I114,Veg_Parameters!$A$3:$N$65,3,FALSE)),0,(VLOOKUP(I114,Veg_Parameters!$A$3:$N$65,3,FALSE))))</f>
        <v/>
      </c>
      <c r="T114" s="222" t="str">
        <f>IF(ISBLANK(N114),"",IF(ISNA(VLOOKUP(N114,Veg_Parameters!$A$3:$N$65,3,FALSE)),0,(VLOOKUP(N114,Veg_Parameters!$A$3:$N$65,3,FALSE))))</f>
        <v/>
      </c>
      <c r="U114" s="523">
        <f t="shared" si="175"/>
        <v>0</v>
      </c>
      <c r="V114" s="523">
        <f t="shared" si="151"/>
        <v>0</v>
      </c>
      <c r="W114" s="524">
        <f>IF(ISBLANK(A114),0,IF(ISNA(VLOOKUP($I114,Veg_Parameters!$A$3:$N$65,10,FALSE)),0,(VLOOKUP($I114,Veg_Parameters!$A$3:$N$65,10,FALSE))))</f>
        <v>0</v>
      </c>
      <c r="X114" s="524">
        <f>IF(ISBLANK(A114),0,IF(ISNA(VLOOKUP($I114,Veg_Parameters!$A$3:$N$65,11,FALSE)),0,(VLOOKUP($I114,Veg_Parameters!$A$3:$N$65,11,FALSE))))</f>
        <v>0</v>
      </c>
      <c r="Y114" s="524">
        <f>IF(ISBLANK(A114),0,IF(ISNA(VLOOKUP($I114,Veg_Parameters!$A$3:$N$65,12,FALSE)),0,(VLOOKUP($I114,Veg_Parameters!$A$3:$N$65,12,FALSE))))</f>
        <v>0</v>
      </c>
      <c r="Z114" s="525">
        <f t="shared" si="152"/>
        <v>0</v>
      </c>
      <c r="AA114" s="525">
        <f t="shared" si="153"/>
        <v>0</v>
      </c>
      <c r="AB114" s="525">
        <f t="shared" si="154"/>
        <v>0</v>
      </c>
      <c r="AC114" s="524">
        <f>IF(ISBLANK(N114),0,IF(ISNA(VLOOKUP($N114,Veg_Parameters!$A$3:$N$65,10,FALSE)),0,(VLOOKUP($N114,Veg_Parameters!$A$3:$N$65,10,FALSE))))</f>
        <v>0</v>
      </c>
      <c r="AD114" s="524">
        <f>IF(ISBLANK(N114),0,IF(ISNA(VLOOKUP($N114,Veg_Parameters!$A$3:$N$65,11,FALSE)),0,(VLOOKUP($N114,Veg_Parameters!$A$3:$N$65,11,FALSE))))</f>
        <v>0</v>
      </c>
      <c r="AE114" s="524">
        <f>IF(ISBLANK(N114), 0, IF(ISNA(VLOOKUP($N114,Veg_Parameters!$A$3:$N$65,12,FALSE)),0,(VLOOKUP($N114,Veg_Parameters!$A$3:$N$65,12,FALSE))))</f>
        <v>0</v>
      </c>
      <c r="AF114" s="523">
        <f t="shared" si="155"/>
        <v>0</v>
      </c>
      <c r="AG114" s="523">
        <f t="shared" si="156"/>
        <v>0</v>
      </c>
      <c r="AH114" s="523">
        <f t="shared" si="157"/>
        <v>0</v>
      </c>
      <c r="AI114" s="526"/>
      <c r="AJ114" s="527">
        <f>AB114*(IF(ISNA(VLOOKUP($I114,Veg_Parameters!$A$3:$N$65,5,FALSE)),0,(VLOOKUP($I114,Veg_Parameters!$A$3:$N$65,5,FALSE))))</f>
        <v>0</v>
      </c>
      <c r="AK114" s="527">
        <f>IF(ISNA(VLOOKUP($I114,Veg_Parameters!$A$3:$N$65,4,FALSE)),0,(VLOOKUP($I114,Veg_Parameters!$A$3:$N$65,4,FALSE)))</f>
        <v>0</v>
      </c>
      <c r="AL114" s="527">
        <f>AB114*(IF(ISNA(VLOOKUP($I114,Veg_Parameters!$A$3:$N$65,7,FALSE)),0, (VLOOKUP($I114,Veg_Parameters!$A$3:$N$65,7,FALSE))))</f>
        <v>0</v>
      </c>
      <c r="AM114" s="528">
        <f>IF(ISNA(VLOOKUP($I114,Veg_Parameters!$A$3:$N$65,6,FALSE)), 0, (VLOOKUP($I114,Veg_Parameters!$A$3:$N$65,6,FALSE)))</f>
        <v>0</v>
      </c>
      <c r="AN114" s="529">
        <f t="shared" si="158"/>
        <v>20</v>
      </c>
      <c r="AO114" s="529">
        <f t="shared" si="159"/>
        <v>0</v>
      </c>
      <c r="AP114" s="529">
        <f t="shared" si="160"/>
        <v>0</v>
      </c>
      <c r="AQ114" s="530">
        <f t="shared" si="176"/>
        <v>0</v>
      </c>
      <c r="AR114" s="527" t="s">
        <v>3</v>
      </c>
      <c r="AS114" s="527">
        <f>IF(ISNA(VLOOKUP($I114,Veg_Parameters!$A$3:$N$65,8,FALSE)), 0, (VLOOKUP($I114,Veg_Parameters!$A$3:$N$65,8,FALSE)))</f>
        <v>0</v>
      </c>
      <c r="AT114" s="527">
        <f>AB114*(IF(ISNA(VLOOKUP($I114,Veg_Parameters!$A$3:$N$65,9,FALSE)), 0, (VLOOKUP($I114,Veg_Parameters!$A$3:$N$65,9,FALSE))))</f>
        <v>0</v>
      </c>
      <c r="AU114" s="527">
        <f>IF(ISBLANK(A114),0,VLOOKUP($I114,Veg_Parameters!$A$4:$U$65,21,))</f>
        <v>0</v>
      </c>
      <c r="AV114" s="527">
        <f t="shared" si="177"/>
        <v>0</v>
      </c>
      <c r="AW114" s="529">
        <f t="shared" si="178"/>
        <v>0</v>
      </c>
      <c r="AX114" s="529">
        <f t="shared" si="179"/>
        <v>0</v>
      </c>
      <c r="AY114" s="529">
        <f t="shared" si="161"/>
        <v>0</v>
      </c>
      <c r="AZ114" s="529">
        <f t="shared" si="180"/>
        <v>0</v>
      </c>
      <c r="BA114" s="529">
        <f t="shared" si="181"/>
        <v>0</v>
      </c>
      <c r="BB114" s="529">
        <f t="shared" si="182"/>
        <v>0</v>
      </c>
      <c r="BC114" s="529">
        <f t="shared" si="162"/>
        <v>0</v>
      </c>
      <c r="BD114" s="531"/>
      <c r="BE114" s="527">
        <f>AH114*(IF(ISNA(VLOOKUP($N114,Veg_Parameters!$A$3:$N$65,5,FALSE)),0,(VLOOKUP($N114,Veg_Parameters!$A$3:$N$65,5,FALSE))))</f>
        <v>0</v>
      </c>
      <c r="BF114" s="527">
        <f>IF(ISNA(VLOOKUP($N114,Veg_Parameters!$A$3:$N$65,4,FALSE)),0,(VLOOKUP($N114,Veg_Parameters!$A$3:$N$65,4,FALSE)))</f>
        <v>0</v>
      </c>
      <c r="BG114" s="527">
        <f>AH114*(IF(ISNA(VLOOKUP($N114,Veg_Parameters!$A$3:$N$65,7,FALSE)),0, (VLOOKUP($N114,Veg_Parameters!$A$3:$N$65,7,FALSE))))</f>
        <v>0</v>
      </c>
      <c r="BH114" s="527">
        <f>IF(ISNA(VLOOKUP($N114,Veg_Parameters!$A$3:$N$65,6,FALSE)), 0, (VLOOKUP($N114,Veg_Parameters!$A$3:$N$65,6,FALSE)))</f>
        <v>0</v>
      </c>
      <c r="BI114" s="529">
        <f t="shared" si="163"/>
        <v>20</v>
      </c>
      <c r="BJ114" s="529">
        <f t="shared" si="183"/>
        <v>0</v>
      </c>
      <c r="BK114" s="529">
        <f t="shared" si="164"/>
        <v>0</v>
      </c>
      <c r="BL114" s="530">
        <f t="shared" si="184"/>
        <v>0</v>
      </c>
      <c r="BM114" s="527" t="s">
        <v>3</v>
      </c>
      <c r="BN114" s="527">
        <f>IF(ISNA(VLOOKUP(N114,Veg_Parameters!$A$3:$N$65,8,FALSE)), 0, (VLOOKUP($N114,Veg_Parameters!$A$3:$N$65,8,FALSE)))</f>
        <v>0</v>
      </c>
      <c r="BO114" s="527">
        <f>AH114*(IF(ISNA(VLOOKUP($N114,Veg_Parameters!$A$3:$N$65,9,FALSE)), 0, (VLOOKUP($N114,Veg_Parameters!$A$3:$N$65,9,FALSE))))</f>
        <v>0</v>
      </c>
      <c r="BP114" s="527" t="str">
        <f>IF(ISBLANK(N114),"0",VLOOKUP($N114,Veg_Parameters!$A$4:$U$65,21,))</f>
        <v>0</v>
      </c>
      <c r="BQ114" s="529">
        <f t="shared" si="185"/>
        <v>0</v>
      </c>
      <c r="BR114" s="529">
        <f t="shared" si="186"/>
        <v>0</v>
      </c>
      <c r="BS114" s="529">
        <f t="shared" si="165"/>
        <v>0</v>
      </c>
      <c r="BT114" s="529">
        <f t="shared" si="187"/>
        <v>0</v>
      </c>
      <c r="BU114" s="529">
        <f t="shared" si="188"/>
        <v>0</v>
      </c>
      <c r="BV114" s="529">
        <f t="shared" si="189"/>
        <v>0</v>
      </c>
      <c r="BW114" s="532" t="str">
        <f t="shared" si="166"/>
        <v/>
      </c>
      <c r="BX114" s="532" t="str">
        <f t="shared" si="167"/>
        <v/>
      </c>
      <c r="BY114" s="532" t="str">
        <f t="shared" si="168"/>
        <v/>
      </c>
      <c r="BZ114" s="532" t="str">
        <f t="shared" si="169"/>
        <v/>
      </c>
      <c r="CA114" s="532">
        <f t="shared" si="170"/>
        <v>0</v>
      </c>
      <c r="CB114" s="533"/>
      <c r="CC114" s="624">
        <f t="shared" si="171"/>
        <v>0</v>
      </c>
      <c r="CD114" s="534">
        <f t="shared" si="172"/>
        <v>0</v>
      </c>
      <c r="CE114" s="534">
        <f t="shared" si="173"/>
        <v>0</v>
      </c>
      <c r="CF114" s="534">
        <f t="shared" si="174"/>
        <v>0</v>
      </c>
      <c r="CG114" s="534"/>
      <c r="CH114" s="534"/>
      <c r="CI114" s="534">
        <f t="shared" si="190"/>
        <v>0</v>
      </c>
      <c r="CL114" s="534">
        <f>IF(ISNA(VLOOKUP(I114,Veg_Parameters!$A$3:$N$65,13,FALSE)),0,(VLOOKUP(I114,Veg_Parameters!$A$3:$N$65,13,FALSE)))</f>
        <v>0</v>
      </c>
      <c r="CM114" s="534">
        <f t="shared" si="191"/>
        <v>0</v>
      </c>
      <c r="CN114" s="534">
        <f>IF(ISNA(VLOOKUP(N114,Veg_Parameters!$A$3:$N$65,13,FALSE)),0,(VLOOKUP(N114,Veg_Parameters!$A$3:$N$65,13,FALSE)))</f>
        <v>0</v>
      </c>
      <c r="CO114" s="523">
        <f t="shared" si="192"/>
        <v>0</v>
      </c>
    </row>
    <row r="115" spans="1:93" x14ac:dyDescent="0.2">
      <c r="A115" s="227"/>
      <c r="B115" s="171" t="str">
        <f t="shared" si="193"/>
        <v/>
      </c>
      <c r="C115" s="230"/>
      <c r="D115" s="169"/>
      <c r="E115" s="165"/>
      <c r="F115" s="165"/>
      <c r="G115" s="165"/>
      <c r="H115" s="165"/>
      <c r="I115" s="168"/>
      <c r="J115" s="167"/>
      <c r="K115" s="168"/>
      <c r="L115" s="167"/>
      <c r="M115" s="167"/>
      <c r="N115" s="168"/>
      <c r="O115" s="168"/>
      <c r="P115" s="167"/>
      <c r="Q115" s="167"/>
      <c r="R115" s="167"/>
      <c r="S115" s="222" t="str">
        <f>IF(ISBLANK(A115),"",IF(ISNA(VLOOKUP(I115,Veg_Parameters!$A$3:$N$65,3,FALSE)),0,(VLOOKUP(I115,Veg_Parameters!$A$3:$N$65,3,FALSE))))</f>
        <v/>
      </c>
      <c r="T115" s="222" t="str">
        <f>IF(ISBLANK(N115),"",IF(ISNA(VLOOKUP(N115,Veg_Parameters!$A$3:$N$65,3,FALSE)),0,(VLOOKUP(N115,Veg_Parameters!$A$3:$N$65,3,FALSE))))</f>
        <v/>
      </c>
      <c r="U115" s="523">
        <f t="shared" si="175"/>
        <v>0</v>
      </c>
      <c r="V115" s="523">
        <f t="shared" si="151"/>
        <v>0</v>
      </c>
      <c r="W115" s="524">
        <f>IF(ISBLANK(A115),0,IF(ISNA(VLOOKUP($I115,Veg_Parameters!$A$3:$N$65,10,FALSE)),0,(VLOOKUP($I115,Veg_Parameters!$A$3:$N$65,10,FALSE))))</f>
        <v>0</v>
      </c>
      <c r="X115" s="524">
        <f>IF(ISBLANK(A115),0,IF(ISNA(VLOOKUP($I115,Veg_Parameters!$A$3:$N$65,11,FALSE)),0,(VLOOKUP($I115,Veg_Parameters!$A$3:$N$65,11,FALSE))))</f>
        <v>0</v>
      </c>
      <c r="Y115" s="524">
        <f>IF(ISBLANK(A115),0,IF(ISNA(VLOOKUP($I115,Veg_Parameters!$A$3:$N$65,12,FALSE)),0,(VLOOKUP($I115,Veg_Parameters!$A$3:$N$65,12,FALSE))))</f>
        <v>0</v>
      </c>
      <c r="Z115" s="525">
        <f t="shared" si="152"/>
        <v>0</v>
      </c>
      <c r="AA115" s="525">
        <f t="shared" si="153"/>
        <v>0</v>
      </c>
      <c r="AB115" s="525">
        <f t="shared" si="154"/>
        <v>0</v>
      </c>
      <c r="AC115" s="524">
        <f>IF(ISBLANK(N115),0,IF(ISNA(VLOOKUP($N115,Veg_Parameters!$A$3:$N$65,10,FALSE)),0,(VLOOKUP($N115,Veg_Parameters!$A$3:$N$65,10,FALSE))))</f>
        <v>0</v>
      </c>
      <c r="AD115" s="524">
        <f>IF(ISBLANK(N115),0,IF(ISNA(VLOOKUP($N115,Veg_Parameters!$A$3:$N$65,11,FALSE)),0,(VLOOKUP($N115,Veg_Parameters!$A$3:$N$65,11,FALSE))))</f>
        <v>0</v>
      </c>
      <c r="AE115" s="524">
        <f>IF(ISBLANK(N115), 0, IF(ISNA(VLOOKUP($N115,Veg_Parameters!$A$3:$N$65,12,FALSE)),0,(VLOOKUP($N115,Veg_Parameters!$A$3:$N$65,12,FALSE))))</f>
        <v>0</v>
      </c>
      <c r="AF115" s="523">
        <f t="shared" si="155"/>
        <v>0</v>
      </c>
      <c r="AG115" s="523">
        <f t="shared" si="156"/>
        <v>0</v>
      </c>
      <c r="AH115" s="523">
        <f t="shared" si="157"/>
        <v>0</v>
      </c>
      <c r="AI115" s="526"/>
      <c r="AJ115" s="527">
        <f>AB115*(IF(ISNA(VLOOKUP($I115,Veg_Parameters!$A$3:$N$65,5,FALSE)),0,(VLOOKUP($I115,Veg_Parameters!$A$3:$N$65,5,FALSE))))</f>
        <v>0</v>
      </c>
      <c r="AK115" s="527">
        <f>IF(ISNA(VLOOKUP($I115,Veg_Parameters!$A$3:$N$65,4,FALSE)),0,(VLOOKUP($I115,Veg_Parameters!$A$3:$N$65,4,FALSE)))</f>
        <v>0</v>
      </c>
      <c r="AL115" s="527">
        <f>AB115*(IF(ISNA(VLOOKUP($I115,Veg_Parameters!$A$3:$N$65,7,FALSE)),0, (VLOOKUP($I115,Veg_Parameters!$A$3:$N$65,7,FALSE))))</f>
        <v>0</v>
      </c>
      <c r="AM115" s="528">
        <f>IF(ISNA(VLOOKUP($I115,Veg_Parameters!$A$3:$N$65,6,FALSE)), 0, (VLOOKUP($I115,Veg_Parameters!$A$3:$N$65,6,FALSE)))</f>
        <v>0</v>
      </c>
      <c r="AN115" s="529">
        <f t="shared" si="158"/>
        <v>20</v>
      </c>
      <c r="AO115" s="529">
        <f t="shared" si="159"/>
        <v>0</v>
      </c>
      <c r="AP115" s="529">
        <f t="shared" si="160"/>
        <v>0</v>
      </c>
      <c r="AQ115" s="530">
        <f t="shared" si="176"/>
        <v>0</v>
      </c>
      <c r="AR115" s="527" t="s">
        <v>3</v>
      </c>
      <c r="AS115" s="527">
        <f>IF(ISNA(VLOOKUP($I115,Veg_Parameters!$A$3:$N$65,8,FALSE)), 0, (VLOOKUP($I115,Veg_Parameters!$A$3:$N$65,8,FALSE)))</f>
        <v>0</v>
      </c>
      <c r="AT115" s="527">
        <f>AB115*(IF(ISNA(VLOOKUP($I115,Veg_Parameters!$A$3:$N$65,9,FALSE)), 0, (VLOOKUP($I115,Veg_Parameters!$A$3:$N$65,9,FALSE))))</f>
        <v>0</v>
      </c>
      <c r="AU115" s="527">
        <f>IF(ISBLANK(A115),0,VLOOKUP($I115,Veg_Parameters!$A$4:$U$65,21,))</f>
        <v>0</v>
      </c>
      <c r="AV115" s="527">
        <f t="shared" si="177"/>
        <v>0</v>
      </c>
      <c r="AW115" s="529">
        <f t="shared" si="178"/>
        <v>0</v>
      </c>
      <c r="AX115" s="529">
        <f t="shared" si="179"/>
        <v>0</v>
      </c>
      <c r="AY115" s="529">
        <f t="shared" si="161"/>
        <v>0</v>
      </c>
      <c r="AZ115" s="529">
        <f t="shared" si="180"/>
        <v>0</v>
      </c>
      <c r="BA115" s="529">
        <f t="shared" si="181"/>
        <v>0</v>
      </c>
      <c r="BB115" s="529">
        <f t="shared" si="182"/>
        <v>0</v>
      </c>
      <c r="BC115" s="529">
        <f t="shared" si="162"/>
        <v>0</v>
      </c>
      <c r="BD115" s="531"/>
      <c r="BE115" s="527">
        <f>AH115*(IF(ISNA(VLOOKUP($N115,Veg_Parameters!$A$3:$N$65,5,FALSE)),0,(VLOOKUP($N115,Veg_Parameters!$A$3:$N$65,5,FALSE))))</f>
        <v>0</v>
      </c>
      <c r="BF115" s="527">
        <f>IF(ISNA(VLOOKUP($N115,Veg_Parameters!$A$3:$N$65,4,FALSE)),0,(VLOOKUP($N115,Veg_Parameters!$A$3:$N$65,4,FALSE)))</f>
        <v>0</v>
      </c>
      <c r="BG115" s="527">
        <f>AH115*(IF(ISNA(VLOOKUP($N115,Veg_Parameters!$A$3:$N$65,7,FALSE)),0, (VLOOKUP($N115,Veg_Parameters!$A$3:$N$65,7,FALSE))))</f>
        <v>0</v>
      </c>
      <c r="BH115" s="527">
        <f>IF(ISNA(VLOOKUP($N115,Veg_Parameters!$A$3:$N$65,6,FALSE)), 0, (VLOOKUP($N115,Veg_Parameters!$A$3:$N$65,6,FALSE)))</f>
        <v>0</v>
      </c>
      <c r="BI115" s="529">
        <f t="shared" si="163"/>
        <v>20</v>
      </c>
      <c r="BJ115" s="529">
        <f t="shared" si="183"/>
        <v>0</v>
      </c>
      <c r="BK115" s="529">
        <f t="shared" si="164"/>
        <v>0</v>
      </c>
      <c r="BL115" s="530">
        <f t="shared" si="184"/>
        <v>0</v>
      </c>
      <c r="BM115" s="527" t="s">
        <v>3</v>
      </c>
      <c r="BN115" s="527">
        <f>IF(ISNA(VLOOKUP(N115,Veg_Parameters!$A$3:$N$65,8,FALSE)), 0, (VLOOKUP($N115,Veg_Parameters!$A$3:$N$65,8,FALSE)))</f>
        <v>0</v>
      </c>
      <c r="BO115" s="527">
        <f>AH115*(IF(ISNA(VLOOKUP($N115,Veg_Parameters!$A$3:$N$65,9,FALSE)), 0, (VLOOKUP($N115,Veg_Parameters!$A$3:$N$65,9,FALSE))))</f>
        <v>0</v>
      </c>
      <c r="BP115" s="527" t="str">
        <f>IF(ISBLANK(N115),"0",VLOOKUP($N115,Veg_Parameters!$A$4:$U$65,21,))</f>
        <v>0</v>
      </c>
      <c r="BQ115" s="529">
        <f t="shared" si="185"/>
        <v>0</v>
      </c>
      <c r="BR115" s="529">
        <f t="shared" si="186"/>
        <v>0</v>
      </c>
      <c r="BS115" s="529">
        <f t="shared" si="165"/>
        <v>0</v>
      </c>
      <c r="BT115" s="529">
        <f t="shared" si="187"/>
        <v>0</v>
      </c>
      <c r="BU115" s="529">
        <f t="shared" si="188"/>
        <v>0</v>
      </c>
      <c r="BV115" s="529">
        <f t="shared" si="189"/>
        <v>0</v>
      </c>
      <c r="BW115" s="532" t="str">
        <f t="shared" si="166"/>
        <v/>
      </c>
      <c r="BX115" s="532" t="str">
        <f t="shared" si="167"/>
        <v/>
      </c>
      <c r="BY115" s="532" t="str">
        <f t="shared" si="168"/>
        <v/>
      </c>
      <c r="BZ115" s="532" t="str">
        <f t="shared" si="169"/>
        <v/>
      </c>
      <c r="CA115" s="532">
        <f t="shared" si="170"/>
        <v>0</v>
      </c>
      <c r="CB115" s="533"/>
      <c r="CC115" s="624">
        <f t="shared" si="171"/>
        <v>0</v>
      </c>
      <c r="CD115" s="534">
        <f t="shared" si="172"/>
        <v>0</v>
      </c>
      <c r="CE115" s="534">
        <f t="shared" si="173"/>
        <v>0</v>
      </c>
      <c r="CF115" s="534">
        <f t="shared" si="174"/>
        <v>0</v>
      </c>
      <c r="CG115" s="534"/>
      <c r="CH115" s="534"/>
      <c r="CI115" s="534">
        <f t="shared" si="190"/>
        <v>0</v>
      </c>
      <c r="CL115" s="534">
        <f>IF(ISNA(VLOOKUP(I115,Veg_Parameters!$A$3:$N$65,13,FALSE)),0,(VLOOKUP(I115,Veg_Parameters!$A$3:$N$65,13,FALSE)))</f>
        <v>0</v>
      </c>
      <c r="CM115" s="534">
        <f t="shared" si="191"/>
        <v>0</v>
      </c>
      <c r="CN115" s="534">
        <f>IF(ISNA(VLOOKUP(N115,Veg_Parameters!$A$3:$N$65,13,FALSE)),0,(VLOOKUP(N115,Veg_Parameters!$A$3:$N$65,13,FALSE)))</f>
        <v>0</v>
      </c>
      <c r="CO115" s="523">
        <f t="shared" si="192"/>
        <v>0</v>
      </c>
    </row>
    <row r="116" spans="1:93" x14ac:dyDescent="0.2">
      <c r="A116" s="227"/>
      <c r="B116" s="171" t="str">
        <f t="shared" si="193"/>
        <v/>
      </c>
      <c r="C116" s="230"/>
      <c r="D116" s="169"/>
      <c r="E116" s="165"/>
      <c r="F116" s="165"/>
      <c r="G116" s="165"/>
      <c r="H116" s="165"/>
      <c r="I116" s="168"/>
      <c r="J116" s="167"/>
      <c r="K116" s="168"/>
      <c r="L116" s="167"/>
      <c r="M116" s="167"/>
      <c r="N116" s="168"/>
      <c r="O116" s="168"/>
      <c r="P116" s="167"/>
      <c r="Q116" s="167"/>
      <c r="R116" s="167"/>
      <c r="S116" s="222" t="str">
        <f>IF(ISBLANK(A116),"",IF(ISNA(VLOOKUP(I116,Veg_Parameters!$A$3:$N$65,3,FALSE)),0,(VLOOKUP(I116,Veg_Parameters!$A$3:$N$65,3,FALSE))))</f>
        <v/>
      </c>
      <c r="T116" s="222" t="str">
        <f>IF(ISBLANK(N116),"",IF(ISNA(VLOOKUP(N116,Veg_Parameters!$A$3:$N$65,3,FALSE)),0,(VLOOKUP(N116,Veg_Parameters!$A$3:$N$65,3,FALSE))))</f>
        <v/>
      </c>
      <c r="U116" s="523">
        <f t="shared" si="175"/>
        <v>0</v>
      </c>
      <c r="V116" s="523">
        <f t="shared" si="151"/>
        <v>0</v>
      </c>
      <c r="W116" s="524">
        <f>IF(ISBLANK(A116),0,IF(ISNA(VLOOKUP($I116,Veg_Parameters!$A$3:$N$65,10,FALSE)),0,(VLOOKUP($I116,Veg_Parameters!$A$3:$N$65,10,FALSE))))</f>
        <v>0</v>
      </c>
      <c r="X116" s="524">
        <f>IF(ISBLANK(A116),0,IF(ISNA(VLOOKUP($I116,Veg_Parameters!$A$3:$N$65,11,FALSE)),0,(VLOOKUP($I116,Veg_Parameters!$A$3:$N$65,11,FALSE))))</f>
        <v>0</v>
      </c>
      <c r="Y116" s="524">
        <f>IF(ISBLANK(A116),0,IF(ISNA(VLOOKUP($I116,Veg_Parameters!$A$3:$N$65,12,FALSE)),0,(VLOOKUP($I116,Veg_Parameters!$A$3:$N$65,12,FALSE))))</f>
        <v>0</v>
      </c>
      <c r="Z116" s="525">
        <f t="shared" si="152"/>
        <v>0</v>
      </c>
      <c r="AA116" s="525">
        <f t="shared" si="153"/>
        <v>0</v>
      </c>
      <c r="AB116" s="525">
        <f t="shared" si="154"/>
        <v>0</v>
      </c>
      <c r="AC116" s="524">
        <f>IF(ISBLANK(N116),0,IF(ISNA(VLOOKUP($N116,Veg_Parameters!$A$3:$N$65,10,FALSE)),0,(VLOOKUP($N116,Veg_Parameters!$A$3:$N$65,10,FALSE))))</f>
        <v>0</v>
      </c>
      <c r="AD116" s="524">
        <f>IF(ISBLANK(N116),0,IF(ISNA(VLOOKUP($N116,Veg_Parameters!$A$3:$N$65,11,FALSE)),0,(VLOOKUP($N116,Veg_Parameters!$A$3:$N$65,11,FALSE))))</f>
        <v>0</v>
      </c>
      <c r="AE116" s="524">
        <f>IF(ISBLANK(N116), 0, IF(ISNA(VLOOKUP($N116,Veg_Parameters!$A$3:$N$65,12,FALSE)),0,(VLOOKUP($N116,Veg_Parameters!$A$3:$N$65,12,FALSE))))</f>
        <v>0</v>
      </c>
      <c r="AF116" s="523">
        <f t="shared" si="155"/>
        <v>0</v>
      </c>
      <c r="AG116" s="523">
        <f t="shared" si="156"/>
        <v>0</v>
      </c>
      <c r="AH116" s="523">
        <f t="shared" si="157"/>
        <v>0</v>
      </c>
      <c r="AI116" s="526"/>
      <c r="AJ116" s="527">
        <f>AB116*(IF(ISNA(VLOOKUP($I116,Veg_Parameters!$A$3:$N$65,5,FALSE)),0,(VLOOKUP($I116,Veg_Parameters!$A$3:$N$65,5,FALSE))))</f>
        <v>0</v>
      </c>
      <c r="AK116" s="527">
        <f>IF(ISNA(VLOOKUP($I116,Veg_Parameters!$A$3:$N$65,4,FALSE)),0,(VLOOKUP($I116,Veg_Parameters!$A$3:$N$65,4,FALSE)))</f>
        <v>0</v>
      </c>
      <c r="AL116" s="527">
        <f>AB116*(IF(ISNA(VLOOKUP($I116,Veg_Parameters!$A$3:$N$65,7,FALSE)),0, (VLOOKUP($I116,Veg_Parameters!$A$3:$N$65,7,FALSE))))</f>
        <v>0</v>
      </c>
      <c r="AM116" s="528">
        <f>IF(ISNA(VLOOKUP($I116,Veg_Parameters!$A$3:$N$65,6,FALSE)), 0, (VLOOKUP($I116,Veg_Parameters!$A$3:$N$65,6,FALSE)))</f>
        <v>0</v>
      </c>
      <c r="AN116" s="529">
        <f t="shared" si="158"/>
        <v>20</v>
      </c>
      <c r="AO116" s="529">
        <f t="shared" si="159"/>
        <v>0</v>
      </c>
      <c r="AP116" s="529">
        <f t="shared" si="160"/>
        <v>0</v>
      </c>
      <c r="AQ116" s="530">
        <f t="shared" si="176"/>
        <v>0</v>
      </c>
      <c r="AR116" s="527" t="s">
        <v>3</v>
      </c>
      <c r="AS116" s="527">
        <f>IF(ISNA(VLOOKUP($I116,Veg_Parameters!$A$3:$N$65,8,FALSE)), 0, (VLOOKUP($I116,Veg_Parameters!$A$3:$N$65,8,FALSE)))</f>
        <v>0</v>
      </c>
      <c r="AT116" s="527">
        <f>AB116*(IF(ISNA(VLOOKUP($I116,Veg_Parameters!$A$3:$N$65,9,FALSE)), 0, (VLOOKUP($I116,Veg_Parameters!$A$3:$N$65,9,FALSE))))</f>
        <v>0</v>
      </c>
      <c r="AU116" s="527">
        <f>IF(ISBLANK(A116),0,VLOOKUP($I116,Veg_Parameters!$A$4:$U$65,21,))</f>
        <v>0</v>
      </c>
      <c r="AV116" s="527">
        <f t="shared" si="177"/>
        <v>0</v>
      </c>
      <c r="AW116" s="529">
        <f t="shared" si="178"/>
        <v>0</v>
      </c>
      <c r="AX116" s="529">
        <f t="shared" si="179"/>
        <v>0</v>
      </c>
      <c r="AY116" s="529">
        <f t="shared" si="161"/>
        <v>0</v>
      </c>
      <c r="AZ116" s="529">
        <f t="shared" si="180"/>
        <v>0</v>
      </c>
      <c r="BA116" s="529">
        <f t="shared" si="181"/>
        <v>0</v>
      </c>
      <c r="BB116" s="529">
        <f t="shared" si="182"/>
        <v>0</v>
      </c>
      <c r="BC116" s="529">
        <f t="shared" si="162"/>
        <v>0</v>
      </c>
      <c r="BD116" s="531"/>
      <c r="BE116" s="527">
        <f>AH116*(IF(ISNA(VLOOKUP($N116,Veg_Parameters!$A$3:$N$65,5,FALSE)),0,(VLOOKUP($N116,Veg_Parameters!$A$3:$N$65,5,FALSE))))</f>
        <v>0</v>
      </c>
      <c r="BF116" s="527">
        <f>IF(ISNA(VLOOKUP($N116,Veg_Parameters!$A$3:$N$65,4,FALSE)),0,(VLOOKUP($N116,Veg_Parameters!$A$3:$N$65,4,FALSE)))</f>
        <v>0</v>
      </c>
      <c r="BG116" s="527">
        <f>AH116*(IF(ISNA(VLOOKUP($N116,Veg_Parameters!$A$3:$N$65,7,FALSE)),0, (VLOOKUP($N116,Veg_Parameters!$A$3:$N$65,7,FALSE))))</f>
        <v>0</v>
      </c>
      <c r="BH116" s="527">
        <f>IF(ISNA(VLOOKUP($N116,Veg_Parameters!$A$3:$N$65,6,FALSE)), 0, (VLOOKUP($N116,Veg_Parameters!$A$3:$N$65,6,FALSE)))</f>
        <v>0</v>
      </c>
      <c r="BI116" s="529">
        <f t="shared" si="163"/>
        <v>20</v>
      </c>
      <c r="BJ116" s="529">
        <f t="shared" si="183"/>
        <v>0</v>
      </c>
      <c r="BK116" s="529">
        <f t="shared" si="164"/>
        <v>0</v>
      </c>
      <c r="BL116" s="530">
        <f t="shared" si="184"/>
        <v>0</v>
      </c>
      <c r="BM116" s="527" t="s">
        <v>3</v>
      </c>
      <c r="BN116" s="527">
        <f>IF(ISNA(VLOOKUP(N116,Veg_Parameters!$A$3:$N$65,8,FALSE)), 0, (VLOOKUP($N116,Veg_Parameters!$A$3:$N$65,8,FALSE)))</f>
        <v>0</v>
      </c>
      <c r="BO116" s="527">
        <f>AH116*(IF(ISNA(VLOOKUP($N116,Veg_Parameters!$A$3:$N$65,9,FALSE)), 0, (VLOOKUP($N116,Veg_Parameters!$A$3:$N$65,9,FALSE))))</f>
        <v>0</v>
      </c>
      <c r="BP116" s="527" t="str">
        <f>IF(ISBLANK(N116),"0",VLOOKUP($N116,Veg_Parameters!$A$4:$U$65,21,))</f>
        <v>0</v>
      </c>
      <c r="BQ116" s="529">
        <f t="shared" si="185"/>
        <v>0</v>
      </c>
      <c r="BR116" s="529">
        <f t="shared" si="186"/>
        <v>0</v>
      </c>
      <c r="BS116" s="529">
        <f t="shared" si="165"/>
        <v>0</v>
      </c>
      <c r="BT116" s="529">
        <f t="shared" si="187"/>
        <v>0</v>
      </c>
      <c r="BU116" s="529">
        <f t="shared" si="188"/>
        <v>0</v>
      </c>
      <c r="BV116" s="529">
        <f t="shared" si="189"/>
        <v>0</v>
      </c>
      <c r="BW116" s="532" t="str">
        <f t="shared" si="166"/>
        <v/>
      </c>
      <c r="BX116" s="532" t="str">
        <f t="shared" si="167"/>
        <v/>
      </c>
      <c r="BY116" s="532" t="str">
        <f t="shared" si="168"/>
        <v/>
      </c>
      <c r="BZ116" s="532" t="str">
        <f t="shared" si="169"/>
        <v/>
      </c>
      <c r="CA116" s="532">
        <f t="shared" si="170"/>
        <v>0</v>
      </c>
      <c r="CB116" s="533"/>
      <c r="CC116" s="624">
        <f t="shared" si="171"/>
        <v>0</v>
      </c>
      <c r="CD116" s="534">
        <f t="shared" si="172"/>
        <v>0</v>
      </c>
      <c r="CE116" s="534">
        <f t="shared" si="173"/>
        <v>0</v>
      </c>
      <c r="CF116" s="534">
        <f t="shared" si="174"/>
        <v>0</v>
      </c>
      <c r="CG116" s="534"/>
      <c r="CH116" s="534"/>
      <c r="CI116" s="534">
        <f t="shared" si="190"/>
        <v>0</v>
      </c>
      <c r="CL116" s="534">
        <f>IF(ISNA(VLOOKUP(I116,Veg_Parameters!$A$3:$N$65,13,FALSE)),0,(VLOOKUP(I116,Veg_Parameters!$A$3:$N$65,13,FALSE)))</f>
        <v>0</v>
      </c>
      <c r="CM116" s="534">
        <f t="shared" si="191"/>
        <v>0</v>
      </c>
      <c r="CN116" s="534">
        <f>IF(ISNA(VLOOKUP(N116,Veg_Parameters!$A$3:$N$65,13,FALSE)),0,(VLOOKUP(N116,Veg_Parameters!$A$3:$N$65,13,FALSE)))</f>
        <v>0</v>
      </c>
      <c r="CO116" s="523">
        <f t="shared" si="192"/>
        <v>0</v>
      </c>
    </row>
    <row r="117" spans="1:93" x14ac:dyDescent="0.2">
      <c r="A117" s="227"/>
      <c r="B117" s="171" t="str">
        <f t="shared" si="193"/>
        <v/>
      </c>
      <c r="C117" s="230"/>
      <c r="D117" s="169"/>
      <c r="E117" s="165"/>
      <c r="F117" s="165"/>
      <c r="G117" s="165"/>
      <c r="H117" s="165"/>
      <c r="I117" s="168"/>
      <c r="J117" s="167"/>
      <c r="K117" s="168"/>
      <c r="L117" s="167"/>
      <c r="M117" s="167"/>
      <c r="N117" s="168"/>
      <c r="O117" s="168"/>
      <c r="P117" s="167"/>
      <c r="Q117" s="167"/>
      <c r="R117" s="167"/>
      <c r="S117" s="222" t="str">
        <f>IF(ISBLANK(A117),"",IF(ISNA(VLOOKUP(I117,Veg_Parameters!$A$3:$N$65,3,FALSE)),0,(VLOOKUP(I117,Veg_Parameters!$A$3:$N$65,3,FALSE))))</f>
        <v/>
      </c>
      <c r="T117" s="222" t="str">
        <f>IF(ISBLANK(N117),"",IF(ISNA(VLOOKUP(N117,Veg_Parameters!$A$3:$N$65,3,FALSE)),0,(VLOOKUP(N117,Veg_Parameters!$A$3:$N$65,3,FALSE))))</f>
        <v/>
      </c>
      <c r="U117" s="523">
        <f t="shared" si="175"/>
        <v>0</v>
      </c>
      <c r="V117" s="523">
        <f t="shared" si="151"/>
        <v>0</v>
      </c>
      <c r="W117" s="524">
        <f>IF(ISBLANK(A117),0,IF(ISNA(VLOOKUP($I117,Veg_Parameters!$A$3:$N$65,10,FALSE)),0,(VLOOKUP($I117,Veg_Parameters!$A$3:$N$65,10,FALSE))))</f>
        <v>0</v>
      </c>
      <c r="X117" s="524">
        <f>IF(ISBLANK(A117),0,IF(ISNA(VLOOKUP($I117,Veg_Parameters!$A$3:$N$65,11,FALSE)),0,(VLOOKUP($I117,Veg_Parameters!$A$3:$N$65,11,FALSE))))</f>
        <v>0</v>
      </c>
      <c r="Y117" s="524">
        <f>IF(ISBLANK(A117),0,IF(ISNA(VLOOKUP($I117,Veg_Parameters!$A$3:$N$65,12,FALSE)),0,(VLOOKUP($I117,Veg_Parameters!$A$3:$N$65,12,FALSE))))</f>
        <v>0</v>
      </c>
      <c r="Z117" s="525">
        <f t="shared" si="152"/>
        <v>0</v>
      </c>
      <c r="AA117" s="525">
        <f t="shared" si="153"/>
        <v>0</v>
      </c>
      <c r="AB117" s="525">
        <f t="shared" si="154"/>
        <v>0</v>
      </c>
      <c r="AC117" s="524">
        <f>IF(ISBLANK(N117),0,IF(ISNA(VLOOKUP($N117,Veg_Parameters!$A$3:$N$65,10,FALSE)),0,(VLOOKUP($N117,Veg_Parameters!$A$3:$N$65,10,FALSE))))</f>
        <v>0</v>
      </c>
      <c r="AD117" s="524">
        <f>IF(ISBLANK(N117),0,IF(ISNA(VLOOKUP($N117,Veg_Parameters!$A$3:$N$65,11,FALSE)),0,(VLOOKUP($N117,Veg_Parameters!$A$3:$N$65,11,FALSE))))</f>
        <v>0</v>
      </c>
      <c r="AE117" s="524">
        <f>IF(ISBLANK(N117), 0, IF(ISNA(VLOOKUP($N117,Veg_Parameters!$A$3:$N$65,12,FALSE)),0,(VLOOKUP($N117,Veg_Parameters!$A$3:$N$65,12,FALSE))))</f>
        <v>0</v>
      </c>
      <c r="AF117" s="523">
        <f t="shared" si="155"/>
        <v>0</v>
      </c>
      <c r="AG117" s="523">
        <f t="shared" si="156"/>
        <v>0</v>
      </c>
      <c r="AH117" s="523">
        <f t="shared" si="157"/>
        <v>0</v>
      </c>
      <c r="AI117" s="526"/>
      <c r="AJ117" s="527">
        <f>AB117*(IF(ISNA(VLOOKUP($I117,Veg_Parameters!$A$3:$N$65,5,FALSE)),0,(VLOOKUP($I117,Veg_Parameters!$A$3:$N$65,5,FALSE))))</f>
        <v>0</v>
      </c>
      <c r="AK117" s="527">
        <f>IF(ISNA(VLOOKUP($I117,Veg_Parameters!$A$3:$N$65,4,FALSE)),0,(VLOOKUP($I117,Veg_Parameters!$A$3:$N$65,4,FALSE)))</f>
        <v>0</v>
      </c>
      <c r="AL117" s="527">
        <f>AB117*(IF(ISNA(VLOOKUP($I117,Veg_Parameters!$A$3:$N$65,7,FALSE)),0, (VLOOKUP($I117,Veg_Parameters!$A$3:$N$65,7,FALSE))))</f>
        <v>0</v>
      </c>
      <c r="AM117" s="528">
        <f>IF(ISNA(VLOOKUP($I117,Veg_Parameters!$A$3:$N$65,6,FALSE)), 0, (VLOOKUP($I117,Veg_Parameters!$A$3:$N$65,6,FALSE)))</f>
        <v>0</v>
      </c>
      <c r="AN117" s="529">
        <f t="shared" si="158"/>
        <v>20</v>
      </c>
      <c r="AO117" s="529">
        <f t="shared" si="159"/>
        <v>0</v>
      </c>
      <c r="AP117" s="529">
        <f t="shared" si="160"/>
        <v>0</v>
      </c>
      <c r="AQ117" s="530">
        <f t="shared" si="176"/>
        <v>0</v>
      </c>
      <c r="AR117" s="527" t="s">
        <v>3</v>
      </c>
      <c r="AS117" s="527">
        <f>IF(ISNA(VLOOKUP($I117,Veg_Parameters!$A$3:$N$65,8,FALSE)), 0, (VLOOKUP($I117,Veg_Parameters!$A$3:$N$65,8,FALSE)))</f>
        <v>0</v>
      </c>
      <c r="AT117" s="527">
        <f>AB117*(IF(ISNA(VLOOKUP($I117,Veg_Parameters!$A$3:$N$65,9,FALSE)), 0, (VLOOKUP($I117,Veg_Parameters!$A$3:$N$65,9,FALSE))))</f>
        <v>0</v>
      </c>
      <c r="AU117" s="527">
        <f>IF(ISBLANK(A117),0,VLOOKUP($I117,Veg_Parameters!$A$4:$U$65,21,))</f>
        <v>0</v>
      </c>
      <c r="AV117" s="527">
        <f t="shared" si="177"/>
        <v>0</v>
      </c>
      <c r="AW117" s="529">
        <f t="shared" si="178"/>
        <v>0</v>
      </c>
      <c r="AX117" s="529">
        <f t="shared" si="179"/>
        <v>0</v>
      </c>
      <c r="AY117" s="529">
        <f t="shared" si="161"/>
        <v>0</v>
      </c>
      <c r="AZ117" s="529">
        <f t="shared" si="180"/>
        <v>0</v>
      </c>
      <c r="BA117" s="529">
        <f t="shared" si="181"/>
        <v>0</v>
      </c>
      <c r="BB117" s="529">
        <f t="shared" si="182"/>
        <v>0</v>
      </c>
      <c r="BC117" s="529">
        <f t="shared" si="162"/>
        <v>0</v>
      </c>
      <c r="BD117" s="531"/>
      <c r="BE117" s="527">
        <f>AH117*(IF(ISNA(VLOOKUP($N117,Veg_Parameters!$A$3:$N$65,5,FALSE)),0,(VLOOKUP($N117,Veg_Parameters!$A$3:$N$65,5,FALSE))))</f>
        <v>0</v>
      </c>
      <c r="BF117" s="527">
        <f>IF(ISNA(VLOOKUP($N117,Veg_Parameters!$A$3:$N$65,4,FALSE)),0,(VLOOKUP($N117,Veg_Parameters!$A$3:$N$65,4,FALSE)))</f>
        <v>0</v>
      </c>
      <c r="BG117" s="527">
        <f>AH117*(IF(ISNA(VLOOKUP($N117,Veg_Parameters!$A$3:$N$65,7,FALSE)),0, (VLOOKUP($N117,Veg_Parameters!$A$3:$N$65,7,FALSE))))</f>
        <v>0</v>
      </c>
      <c r="BH117" s="527">
        <f>IF(ISNA(VLOOKUP($N117,Veg_Parameters!$A$3:$N$65,6,FALSE)), 0, (VLOOKUP($N117,Veg_Parameters!$A$3:$N$65,6,FALSE)))</f>
        <v>0</v>
      </c>
      <c r="BI117" s="529">
        <f t="shared" si="163"/>
        <v>20</v>
      </c>
      <c r="BJ117" s="529">
        <f t="shared" si="183"/>
        <v>0</v>
      </c>
      <c r="BK117" s="529">
        <f t="shared" si="164"/>
        <v>0</v>
      </c>
      <c r="BL117" s="530">
        <f t="shared" si="184"/>
        <v>0</v>
      </c>
      <c r="BM117" s="527" t="s">
        <v>3</v>
      </c>
      <c r="BN117" s="527">
        <f>IF(ISNA(VLOOKUP(N117,Veg_Parameters!$A$3:$N$65,8,FALSE)), 0, (VLOOKUP($N117,Veg_Parameters!$A$3:$N$65,8,FALSE)))</f>
        <v>0</v>
      </c>
      <c r="BO117" s="527">
        <f>AH117*(IF(ISNA(VLOOKUP($N117,Veg_Parameters!$A$3:$N$65,9,FALSE)), 0, (VLOOKUP($N117,Veg_Parameters!$A$3:$N$65,9,FALSE))))</f>
        <v>0</v>
      </c>
      <c r="BP117" s="527" t="str">
        <f>IF(ISBLANK(N117),"0",VLOOKUP($N117,Veg_Parameters!$A$4:$U$65,21,))</f>
        <v>0</v>
      </c>
      <c r="BQ117" s="529">
        <f t="shared" si="185"/>
        <v>0</v>
      </c>
      <c r="BR117" s="529">
        <f t="shared" si="186"/>
        <v>0</v>
      </c>
      <c r="BS117" s="529">
        <f t="shared" si="165"/>
        <v>0</v>
      </c>
      <c r="BT117" s="529">
        <f t="shared" si="187"/>
        <v>0</v>
      </c>
      <c r="BU117" s="529">
        <f t="shared" si="188"/>
        <v>0</v>
      </c>
      <c r="BV117" s="529">
        <f t="shared" si="189"/>
        <v>0</v>
      </c>
      <c r="BW117" s="532" t="str">
        <f t="shared" si="166"/>
        <v/>
      </c>
      <c r="BX117" s="532" t="str">
        <f t="shared" si="167"/>
        <v/>
      </c>
      <c r="BY117" s="532" t="str">
        <f t="shared" si="168"/>
        <v/>
      </c>
      <c r="BZ117" s="532" t="str">
        <f t="shared" si="169"/>
        <v/>
      </c>
      <c r="CA117" s="532">
        <f t="shared" si="170"/>
        <v>0</v>
      </c>
      <c r="CB117" s="533"/>
      <c r="CC117" s="624">
        <f t="shared" si="171"/>
        <v>0</v>
      </c>
      <c r="CD117" s="534">
        <f t="shared" si="172"/>
        <v>0</v>
      </c>
      <c r="CE117" s="534">
        <f t="shared" si="173"/>
        <v>0</v>
      </c>
      <c r="CF117" s="534">
        <f t="shared" si="174"/>
        <v>0</v>
      </c>
      <c r="CG117" s="534"/>
      <c r="CH117" s="534"/>
      <c r="CI117" s="534">
        <f t="shared" si="190"/>
        <v>0</v>
      </c>
      <c r="CL117" s="534">
        <f>IF(ISNA(VLOOKUP(I117,Veg_Parameters!$A$3:$N$65,13,FALSE)),0,(VLOOKUP(I117,Veg_Parameters!$A$3:$N$65,13,FALSE)))</f>
        <v>0</v>
      </c>
      <c r="CM117" s="534">
        <f t="shared" si="191"/>
        <v>0</v>
      </c>
      <c r="CN117" s="534">
        <f>IF(ISNA(VLOOKUP(N117,Veg_Parameters!$A$3:$N$65,13,FALSE)),0,(VLOOKUP(N117,Veg_Parameters!$A$3:$N$65,13,FALSE)))</f>
        <v>0</v>
      </c>
      <c r="CO117" s="523">
        <f t="shared" si="192"/>
        <v>0</v>
      </c>
    </row>
    <row r="118" spans="1:93" x14ac:dyDescent="0.2">
      <c r="A118" s="227"/>
      <c r="B118" s="171" t="str">
        <f t="shared" si="193"/>
        <v/>
      </c>
      <c r="C118" s="230"/>
      <c r="D118" s="169"/>
      <c r="E118" s="165"/>
      <c r="F118" s="165"/>
      <c r="G118" s="165"/>
      <c r="H118" s="165"/>
      <c r="I118" s="168"/>
      <c r="J118" s="167"/>
      <c r="K118" s="168"/>
      <c r="L118" s="167"/>
      <c r="M118" s="167"/>
      <c r="N118" s="168"/>
      <c r="O118" s="168"/>
      <c r="P118" s="167"/>
      <c r="Q118" s="167"/>
      <c r="R118" s="167"/>
      <c r="S118" s="222" t="str">
        <f>IF(ISBLANK(A118),"",IF(ISNA(VLOOKUP(I118,Veg_Parameters!$A$3:$N$65,3,FALSE)),0,(VLOOKUP(I118,Veg_Parameters!$A$3:$N$65,3,FALSE))))</f>
        <v/>
      </c>
      <c r="T118" s="222" t="str">
        <f>IF(ISBLANK(N118),"",IF(ISNA(VLOOKUP(N118,Veg_Parameters!$A$3:$N$65,3,FALSE)),0,(VLOOKUP(N118,Veg_Parameters!$A$3:$N$65,3,FALSE))))</f>
        <v/>
      </c>
      <c r="U118" s="523">
        <f t="shared" si="175"/>
        <v>0</v>
      </c>
      <c r="V118" s="523">
        <f t="shared" si="151"/>
        <v>0</v>
      </c>
      <c r="W118" s="524">
        <f>IF(ISBLANK(A118),0,IF(ISNA(VLOOKUP($I118,Veg_Parameters!$A$3:$N$65,10,FALSE)),0,(VLOOKUP($I118,Veg_Parameters!$A$3:$N$65,10,FALSE))))</f>
        <v>0</v>
      </c>
      <c r="X118" s="524">
        <f>IF(ISBLANK(A118),0,IF(ISNA(VLOOKUP($I118,Veg_Parameters!$A$3:$N$65,11,FALSE)),0,(VLOOKUP($I118,Veg_Parameters!$A$3:$N$65,11,FALSE))))</f>
        <v>0</v>
      </c>
      <c r="Y118" s="524">
        <f>IF(ISBLANK(A118),0,IF(ISNA(VLOOKUP($I118,Veg_Parameters!$A$3:$N$65,12,FALSE)),0,(VLOOKUP($I118,Veg_Parameters!$A$3:$N$65,12,FALSE))))</f>
        <v>0</v>
      </c>
      <c r="Z118" s="525">
        <f t="shared" si="152"/>
        <v>0</v>
      </c>
      <c r="AA118" s="525">
        <f t="shared" si="153"/>
        <v>0</v>
      </c>
      <c r="AB118" s="525">
        <f t="shared" si="154"/>
        <v>0</v>
      </c>
      <c r="AC118" s="524">
        <f>IF(ISBLANK(N118),0,IF(ISNA(VLOOKUP($N118,Veg_Parameters!$A$3:$N$65,10,FALSE)),0,(VLOOKUP($N118,Veg_Parameters!$A$3:$N$65,10,FALSE))))</f>
        <v>0</v>
      </c>
      <c r="AD118" s="524">
        <f>IF(ISBLANK(N118),0,IF(ISNA(VLOOKUP($N118,Veg_Parameters!$A$3:$N$65,11,FALSE)),0,(VLOOKUP($N118,Veg_Parameters!$A$3:$N$65,11,FALSE))))</f>
        <v>0</v>
      </c>
      <c r="AE118" s="524">
        <f>IF(ISBLANK(N118), 0, IF(ISNA(VLOOKUP($N118,Veg_Parameters!$A$3:$N$65,12,FALSE)),0,(VLOOKUP($N118,Veg_Parameters!$A$3:$N$65,12,FALSE))))</f>
        <v>0</v>
      </c>
      <c r="AF118" s="523">
        <f t="shared" si="155"/>
        <v>0</v>
      </c>
      <c r="AG118" s="523">
        <f t="shared" si="156"/>
        <v>0</v>
      </c>
      <c r="AH118" s="523">
        <f t="shared" si="157"/>
        <v>0</v>
      </c>
      <c r="AI118" s="526"/>
      <c r="AJ118" s="527">
        <f>AB118*(IF(ISNA(VLOOKUP($I118,Veg_Parameters!$A$3:$N$65,5,FALSE)),0,(VLOOKUP($I118,Veg_Parameters!$A$3:$N$65,5,FALSE))))</f>
        <v>0</v>
      </c>
      <c r="AK118" s="527">
        <f>IF(ISNA(VLOOKUP($I118,Veg_Parameters!$A$3:$N$65,4,FALSE)),0,(VLOOKUP($I118,Veg_Parameters!$A$3:$N$65,4,FALSE)))</f>
        <v>0</v>
      </c>
      <c r="AL118" s="527">
        <f>AB118*(IF(ISNA(VLOOKUP($I118,Veg_Parameters!$A$3:$N$65,7,FALSE)),0, (VLOOKUP($I118,Veg_Parameters!$A$3:$N$65,7,FALSE))))</f>
        <v>0</v>
      </c>
      <c r="AM118" s="528">
        <f>IF(ISNA(VLOOKUP($I118,Veg_Parameters!$A$3:$N$65,6,FALSE)), 0, (VLOOKUP($I118,Veg_Parameters!$A$3:$N$65,6,FALSE)))</f>
        <v>0</v>
      </c>
      <c r="AN118" s="529">
        <f t="shared" si="158"/>
        <v>20</v>
      </c>
      <c r="AO118" s="529">
        <f t="shared" si="159"/>
        <v>0</v>
      </c>
      <c r="AP118" s="529">
        <f t="shared" si="160"/>
        <v>0</v>
      </c>
      <c r="AQ118" s="530">
        <f t="shared" si="176"/>
        <v>0</v>
      </c>
      <c r="AR118" s="527" t="s">
        <v>3</v>
      </c>
      <c r="AS118" s="527">
        <f>IF(ISNA(VLOOKUP($I118,Veg_Parameters!$A$3:$N$65,8,FALSE)), 0, (VLOOKUP($I118,Veg_Parameters!$A$3:$N$65,8,FALSE)))</f>
        <v>0</v>
      </c>
      <c r="AT118" s="527">
        <f>AB118*(IF(ISNA(VLOOKUP($I118,Veg_Parameters!$A$3:$N$65,9,FALSE)), 0, (VLOOKUP($I118,Veg_Parameters!$A$3:$N$65,9,FALSE))))</f>
        <v>0</v>
      </c>
      <c r="AU118" s="527">
        <f>IF(ISBLANK(A118),0,VLOOKUP($I118,Veg_Parameters!$A$4:$U$65,21,))</f>
        <v>0</v>
      </c>
      <c r="AV118" s="527">
        <f t="shared" si="177"/>
        <v>0</v>
      </c>
      <c r="AW118" s="529">
        <f t="shared" si="178"/>
        <v>0</v>
      </c>
      <c r="AX118" s="529">
        <f t="shared" si="179"/>
        <v>0</v>
      </c>
      <c r="AY118" s="529">
        <f t="shared" si="161"/>
        <v>0</v>
      </c>
      <c r="AZ118" s="529">
        <f t="shared" si="180"/>
        <v>0</v>
      </c>
      <c r="BA118" s="529">
        <f t="shared" si="181"/>
        <v>0</v>
      </c>
      <c r="BB118" s="529">
        <f t="shared" si="182"/>
        <v>0</v>
      </c>
      <c r="BC118" s="529">
        <f t="shared" si="162"/>
        <v>0</v>
      </c>
      <c r="BD118" s="531"/>
      <c r="BE118" s="527">
        <f>AH118*(IF(ISNA(VLOOKUP($N118,Veg_Parameters!$A$3:$N$65,5,FALSE)),0,(VLOOKUP($N118,Veg_Parameters!$A$3:$N$65,5,FALSE))))</f>
        <v>0</v>
      </c>
      <c r="BF118" s="527">
        <f>IF(ISNA(VLOOKUP($N118,Veg_Parameters!$A$3:$N$65,4,FALSE)),0,(VLOOKUP($N118,Veg_Parameters!$A$3:$N$65,4,FALSE)))</f>
        <v>0</v>
      </c>
      <c r="BG118" s="527">
        <f>AH118*(IF(ISNA(VLOOKUP($N118,Veg_Parameters!$A$3:$N$65,7,FALSE)),0, (VLOOKUP($N118,Veg_Parameters!$A$3:$N$65,7,FALSE))))</f>
        <v>0</v>
      </c>
      <c r="BH118" s="527">
        <f>IF(ISNA(VLOOKUP($N118,Veg_Parameters!$A$3:$N$65,6,FALSE)), 0, (VLOOKUP($N118,Veg_Parameters!$A$3:$N$65,6,FALSE)))</f>
        <v>0</v>
      </c>
      <c r="BI118" s="529">
        <f t="shared" si="163"/>
        <v>20</v>
      </c>
      <c r="BJ118" s="529">
        <f t="shared" si="183"/>
        <v>0</v>
      </c>
      <c r="BK118" s="529">
        <f t="shared" si="164"/>
        <v>0</v>
      </c>
      <c r="BL118" s="530">
        <f t="shared" si="184"/>
        <v>0</v>
      </c>
      <c r="BM118" s="527" t="s">
        <v>3</v>
      </c>
      <c r="BN118" s="527">
        <f>IF(ISNA(VLOOKUP(N118,Veg_Parameters!$A$3:$N$65,8,FALSE)), 0, (VLOOKUP($N118,Veg_Parameters!$A$3:$N$65,8,FALSE)))</f>
        <v>0</v>
      </c>
      <c r="BO118" s="527">
        <f>AH118*(IF(ISNA(VLOOKUP($N118,Veg_Parameters!$A$3:$N$65,9,FALSE)), 0, (VLOOKUP($N118,Veg_Parameters!$A$3:$N$65,9,FALSE))))</f>
        <v>0</v>
      </c>
      <c r="BP118" s="527" t="str">
        <f>IF(ISBLANK(N118),"0",VLOOKUP($N118,Veg_Parameters!$A$4:$U$65,21,))</f>
        <v>0</v>
      </c>
      <c r="BQ118" s="529">
        <f t="shared" si="185"/>
        <v>0</v>
      </c>
      <c r="BR118" s="529">
        <f t="shared" si="186"/>
        <v>0</v>
      </c>
      <c r="BS118" s="529">
        <f t="shared" si="165"/>
        <v>0</v>
      </c>
      <c r="BT118" s="529">
        <f t="shared" si="187"/>
        <v>0</v>
      </c>
      <c r="BU118" s="529">
        <f t="shared" si="188"/>
        <v>0</v>
      </c>
      <c r="BV118" s="529">
        <f t="shared" si="189"/>
        <v>0</v>
      </c>
      <c r="BW118" s="532" t="str">
        <f t="shared" si="166"/>
        <v/>
      </c>
      <c r="BX118" s="532" t="str">
        <f t="shared" si="167"/>
        <v/>
      </c>
      <c r="BY118" s="532" t="str">
        <f t="shared" si="168"/>
        <v/>
      </c>
      <c r="BZ118" s="532" t="str">
        <f t="shared" si="169"/>
        <v/>
      </c>
      <c r="CA118" s="532">
        <f t="shared" si="170"/>
        <v>0</v>
      </c>
      <c r="CB118" s="533"/>
      <c r="CC118" s="624">
        <f t="shared" si="171"/>
        <v>0</v>
      </c>
      <c r="CD118" s="534">
        <f t="shared" si="172"/>
        <v>0</v>
      </c>
      <c r="CE118" s="534">
        <f t="shared" si="173"/>
        <v>0</v>
      </c>
      <c r="CF118" s="534">
        <f t="shared" si="174"/>
        <v>0</v>
      </c>
      <c r="CG118" s="534"/>
      <c r="CH118" s="534"/>
      <c r="CI118" s="534">
        <f t="shared" si="190"/>
        <v>0</v>
      </c>
      <c r="CL118" s="534">
        <f>IF(ISNA(VLOOKUP(I118,Veg_Parameters!$A$3:$N$65,13,FALSE)),0,(VLOOKUP(I118,Veg_Parameters!$A$3:$N$65,13,FALSE)))</f>
        <v>0</v>
      </c>
      <c r="CM118" s="534">
        <f t="shared" si="191"/>
        <v>0</v>
      </c>
      <c r="CN118" s="534">
        <f>IF(ISNA(VLOOKUP(N118,Veg_Parameters!$A$3:$N$65,13,FALSE)),0,(VLOOKUP(N118,Veg_Parameters!$A$3:$N$65,13,FALSE)))</f>
        <v>0</v>
      </c>
      <c r="CO118" s="523">
        <f t="shared" si="192"/>
        <v>0</v>
      </c>
    </row>
    <row r="119" spans="1:93" x14ac:dyDescent="0.2">
      <c r="A119" s="227"/>
      <c r="B119" s="171" t="str">
        <f t="shared" si="193"/>
        <v/>
      </c>
      <c r="C119" s="230"/>
      <c r="D119" s="169"/>
      <c r="E119" s="165"/>
      <c r="F119" s="165"/>
      <c r="G119" s="165"/>
      <c r="H119" s="165"/>
      <c r="I119" s="168"/>
      <c r="J119" s="167"/>
      <c r="K119" s="168"/>
      <c r="L119" s="167"/>
      <c r="M119" s="167"/>
      <c r="N119" s="168"/>
      <c r="O119" s="168"/>
      <c r="P119" s="167"/>
      <c r="Q119" s="167"/>
      <c r="R119" s="167"/>
      <c r="S119" s="222" t="str">
        <f>IF(ISBLANK(A119),"",IF(ISNA(VLOOKUP(I119,Veg_Parameters!$A$3:$N$65,3,FALSE)),0,(VLOOKUP(I119,Veg_Parameters!$A$3:$N$65,3,FALSE))))</f>
        <v/>
      </c>
      <c r="T119" s="222" t="str">
        <f>IF(ISBLANK(N119),"",IF(ISNA(VLOOKUP(N119,Veg_Parameters!$A$3:$N$65,3,FALSE)),0,(VLOOKUP(N119,Veg_Parameters!$A$3:$N$65,3,FALSE))))</f>
        <v/>
      </c>
      <c r="U119" s="523">
        <f t="shared" si="175"/>
        <v>0</v>
      </c>
      <c r="V119" s="523">
        <f t="shared" si="151"/>
        <v>0</v>
      </c>
      <c r="W119" s="524">
        <f>IF(ISBLANK(A119),0,IF(ISNA(VLOOKUP($I119,Veg_Parameters!$A$3:$N$65,10,FALSE)),0,(VLOOKUP($I119,Veg_Parameters!$A$3:$N$65,10,FALSE))))</f>
        <v>0</v>
      </c>
      <c r="X119" s="524">
        <f>IF(ISBLANK(A119),0,IF(ISNA(VLOOKUP($I119,Veg_Parameters!$A$3:$N$65,11,FALSE)),0,(VLOOKUP($I119,Veg_Parameters!$A$3:$N$65,11,FALSE))))</f>
        <v>0</v>
      </c>
      <c r="Y119" s="524">
        <f>IF(ISBLANK(A119),0,IF(ISNA(VLOOKUP($I119,Veg_Parameters!$A$3:$N$65,12,FALSE)),0,(VLOOKUP($I119,Veg_Parameters!$A$3:$N$65,12,FALSE))))</f>
        <v>0</v>
      </c>
      <c r="Z119" s="525">
        <f t="shared" si="152"/>
        <v>0</v>
      </c>
      <c r="AA119" s="525">
        <f t="shared" si="153"/>
        <v>0</v>
      </c>
      <c r="AB119" s="525">
        <f t="shared" si="154"/>
        <v>0</v>
      </c>
      <c r="AC119" s="524">
        <f>IF(ISBLANK(N119),0,IF(ISNA(VLOOKUP($N119,Veg_Parameters!$A$3:$N$65,10,FALSE)),0,(VLOOKUP($N119,Veg_Parameters!$A$3:$N$65,10,FALSE))))</f>
        <v>0</v>
      </c>
      <c r="AD119" s="524">
        <f>IF(ISBLANK(N119),0,IF(ISNA(VLOOKUP($N119,Veg_Parameters!$A$3:$N$65,11,FALSE)),0,(VLOOKUP($N119,Veg_Parameters!$A$3:$N$65,11,FALSE))))</f>
        <v>0</v>
      </c>
      <c r="AE119" s="524">
        <f>IF(ISBLANK(N119), 0, IF(ISNA(VLOOKUP($N119,Veg_Parameters!$A$3:$N$65,12,FALSE)),0,(VLOOKUP($N119,Veg_Parameters!$A$3:$N$65,12,FALSE))))</f>
        <v>0</v>
      </c>
      <c r="AF119" s="523">
        <f t="shared" si="155"/>
        <v>0</v>
      </c>
      <c r="AG119" s="523">
        <f t="shared" si="156"/>
        <v>0</v>
      </c>
      <c r="AH119" s="523">
        <f t="shared" si="157"/>
        <v>0</v>
      </c>
      <c r="AI119" s="526"/>
      <c r="AJ119" s="527">
        <f>AB119*(IF(ISNA(VLOOKUP($I119,Veg_Parameters!$A$3:$N$65,5,FALSE)),0,(VLOOKUP($I119,Veg_Parameters!$A$3:$N$65,5,FALSE))))</f>
        <v>0</v>
      </c>
      <c r="AK119" s="527">
        <f>IF(ISNA(VLOOKUP($I119,Veg_Parameters!$A$3:$N$65,4,FALSE)),0,(VLOOKUP($I119,Veg_Parameters!$A$3:$N$65,4,FALSE)))</f>
        <v>0</v>
      </c>
      <c r="AL119" s="527">
        <f>AB119*(IF(ISNA(VLOOKUP($I119,Veg_Parameters!$A$3:$N$65,7,FALSE)),0, (VLOOKUP($I119,Veg_Parameters!$A$3:$N$65,7,FALSE))))</f>
        <v>0</v>
      </c>
      <c r="AM119" s="528">
        <f>IF(ISNA(VLOOKUP($I119,Veg_Parameters!$A$3:$N$65,6,FALSE)), 0, (VLOOKUP($I119,Veg_Parameters!$A$3:$N$65,6,FALSE)))</f>
        <v>0</v>
      </c>
      <c r="AN119" s="529">
        <f t="shared" si="158"/>
        <v>20</v>
      </c>
      <c r="AO119" s="529">
        <f t="shared" si="159"/>
        <v>0</v>
      </c>
      <c r="AP119" s="529">
        <f t="shared" si="160"/>
        <v>0</v>
      </c>
      <c r="AQ119" s="530">
        <f t="shared" si="176"/>
        <v>0</v>
      </c>
      <c r="AR119" s="527" t="s">
        <v>3</v>
      </c>
      <c r="AS119" s="527">
        <f>IF(ISNA(VLOOKUP($I119,Veg_Parameters!$A$3:$N$65,8,FALSE)), 0, (VLOOKUP($I119,Veg_Parameters!$A$3:$N$65,8,FALSE)))</f>
        <v>0</v>
      </c>
      <c r="AT119" s="527">
        <f>AB119*(IF(ISNA(VLOOKUP($I119,Veg_Parameters!$A$3:$N$65,9,FALSE)), 0, (VLOOKUP($I119,Veg_Parameters!$A$3:$N$65,9,FALSE))))</f>
        <v>0</v>
      </c>
      <c r="AU119" s="527">
        <f>IF(ISBLANK(A119),0,VLOOKUP($I119,Veg_Parameters!$A$4:$U$65,21,))</f>
        <v>0</v>
      </c>
      <c r="AV119" s="527">
        <f t="shared" si="177"/>
        <v>0</v>
      </c>
      <c r="AW119" s="529">
        <f t="shared" si="178"/>
        <v>0</v>
      </c>
      <c r="AX119" s="529">
        <f t="shared" si="179"/>
        <v>0</v>
      </c>
      <c r="AY119" s="529">
        <f t="shared" si="161"/>
        <v>0</v>
      </c>
      <c r="AZ119" s="529">
        <f t="shared" si="180"/>
        <v>0</v>
      </c>
      <c r="BA119" s="529">
        <f t="shared" si="181"/>
        <v>0</v>
      </c>
      <c r="BB119" s="529">
        <f t="shared" si="182"/>
        <v>0</v>
      </c>
      <c r="BC119" s="529">
        <f t="shared" si="162"/>
        <v>0</v>
      </c>
      <c r="BD119" s="531"/>
      <c r="BE119" s="527">
        <f>AH119*(IF(ISNA(VLOOKUP($N119,Veg_Parameters!$A$3:$N$65,5,FALSE)),0,(VLOOKUP($N119,Veg_Parameters!$A$3:$N$65,5,FALSE))))</f>
        <v>0</v>
      </c>
      <c r="BF119" s="527">
        <f>IF(ISNA(VLOOKUP($N119,Veg_Parameters!$A$3:$N$65,4,FALSE)),0,(VLOOKUP($N119,Veg_Parameters!$A$3:$N$65,4,FALSE)))</f>
        <v>0</v>
      </c>
      <c r="BG119" s="527">
        <f>AH119*(IF(ISNA(VLOOKUP($N119,Veg_Parameters!$A$3:$N$65,7,FALSE)),0, (VLOOKUP($N119,Veg_Parameters!$A$3:$N$65,7,FALSE))))</f>
        <v>0</v>
      </c>
      <c r="BH119" s="527">
        <f>IF(ISNA(VLOOKUP($N119,Veg_Parameters!$A$3:$N$65,6,FALSE)), 0, (VLOOKUP($N119,Veg_Parameters!$A$3:$N$65,6,FALSE)))</f>
        <v>0</v>
      </c>
      <c r="BI119" s="529">
        <f t="shared" si="163"/>
        <v>20</v>
      </c>
      <c r="BJ119" s="529">
        <f t="shared" si="183"/>
        <v>0</v>
      </c>
      <c r="BK119" s="529">
        <f t="shared" si="164"/>
        <v>0</v>
      </c>
      <c r="BL119" s="530">
        <f t="shared" si="184"/>
        <v>0</v>
      </c>
      <c r="BM119" s="527" t="s">
        <v>3</v>
      </c>
      <c r="BN119" s="527">
        <f>IF(ISNA(VLOOKUP(N119,Veg_Parameters!$A$3:$N$65,8,FALSE)), 0, (VLOOKUP($N119,Veg_Parameters!$A$3:$N$65,8,FALSE)))</f>
        <v>0</v>
      </c>
      <c r="BO119" s="527">
        <f>AH119*(IF(ISNA(VLOOKUP($N119,Veg_Parameters!$A$3:$N$65,9,FALSE)), 0, (VLOOKUP($N119,Veg_Parameters!$A$3:$N$65,9,FALSE))))</f>
        <v>0</v>
      </c>
      <c r="BP119" s="527" t="str">
        <f>IF(ISBLANK(N119),"0",VLOOKUP($N119,Veg_Parameters!$A$4:$U$65,21,))</f>
        <v>0</v>
      </c>
      <c r="BQ119" s="529">
        <f t="shared" si="185"/>
        <v>0</v>
      </c>
      <c r="BR119" s="529">
        <f t="shared" si="186"/>
        <v>0</v>
      </c>
      <c r="BS119" s="529">
        <f t="shared" si="165"/>
        <v>0</v>
      </c>
      <c r="BT119" s="529">
        <f t="shared" si="187"/>
        <v>0</v>
      </c>
      <c r="BU119" s="529">
        <f t="shared" si="188"/>
        <v>0</v>
      </c>
      <c r="BV119" s="529">
        <f t="shared" si="189"/>
        <v>0</v>
      </c>
      <c r="BW119" s="532" t="str">
        <f t="shared" si="166"/>
        <v/>
      </c>
      <c r="BX119" s="532" t="str">
        <f t="shared" si="167"/>
        <v/>
      </c>
      <c r="BY119" s="532" t="str">
        <f t="shared" si="168"/>
        <v/>
      </c>
      <c r="BZ119" s="532" t="str">
        <f t="shared" si="169"/>
        <v/>
      </c>
      <c r="CA119" s="532">
        <f t="shared" si="170"/>
        <v>0</v>
      </c>
      <c r="CB119" s="533"/>
      <c r="CC119" s="624">
        <f t="shared" si="171"/>
        <v>0</v>
      </c>
      <c r="CD119" s="534">
        <f t="shared" si="172"/>
        <v>0</v>
      </c>
      <c r="CE119" s="534">
        <f t="shared" si="173"/>
        <v>0</v>
      </c>
      <c r="CF119" s="534">
        <f t="shared" si="174"/>
        <v>0</v>
      </c>
      <c r="CG119" s="534"/>
      <c r="CH119" s="534"/>
      <c r="CI119" s="534">
        <f t="shared" si="190"/>
        <v>0</v>
      </c>
      <c r="CL119" s="534">
        <f>IF(ISNA(VLOOKUP(I119,Veg_Parameters!$A$3:$N$65,13,FALSE)),0,(VLOOKUP(I119,Veg_Parameters!$A$3:$N$65,13,FALSE)))</f>
        <v>0</v>
      </c>
      <c r="CM119" s="534">
        <f t="shared" si="191"/>
        <v>0</v>
      </c>
      <c r="CN119" s="534">
        <f>IF(ISNA(VLOOKUP(N119,Veg_Parameters!$A$3:$N$65,13,FALSE)),0,(VLOOKUP(N119,Veg_Parameters!$A$3:$N$65,13,FALSE)))</f>
        <v>0</v>
      </c>
      <c r="CO119" s="523">
        <f t="shared" si="192"/>
        <v>0</v>
      </c>
    </row>
    <row r="120" spans="1:93" x14ac:dyDescent="0.2">
      <c r="A120" s="227"/>
      <c r="B120" s="171" t="str">
        <f t="shared" si="193"/>
        <v/>
      </c>
      <c r="C120" s="230"/>
      <c r="D120" s="169"/>
      <c r="E120" s="165"/>
      <c r="F120" s="165"/>
      <c r="G120" s="165"/>
      <c r="H120" s="165"/>
      <c r="I120" s="168"/>
      <c r="J120" s="167"/>
      <c r="K120" s="168"/>
      <c r="L120" s="167"/>
      <c r="M120" s="167"/>
      <c r="N120" s="168"/>
      <c r="O120" s="168"/>
      <c r="P120" s="167"/>
      <c r="Q120" s="167"/>
      <c r="R120" s="167"/>
      <c r="S120" s="222" t="str">
        <f>IF(ISBLANK(A120),"",IF(ISNA(VLOOKUP(I120,Veg_Parameters!$A$3:$N$65,3,FALSE)),0,(VLOOKUP(I120,Veg_Parameters!$A$3:$N$65,3,FALSE))))</f>
        <v/>
      </c>
      <c r="T120" s="222" t="str">
        <f>IF(ISBLANK(N120),"",IF(ISNA(VLOOKUP(N120,Veg_Parameters!$A$3:$N$65,3,FALSE)),0,(VLOOKUP(N120,Veg_Parameters!$A$3:$N$65,3,FALSE))))</f>
        <v/>
      </c>
      <c r="U120" s="523">
        <f t="shared" si="175"/>
        <v>0</v>
      </c>
      <c r="V120" s="523">
        <f t="shared" si="151"/>
        <v>0</v>
      </c>
      <c r="W120" s="524">
        <f>IF(ISBLANK(A120),0,IF(ISNA(VLOOKUP($I120,Veg_Parameters!$A$3:$N$65,10,FALSE)),0,(VLOOKUP($I120,Veg_Parameters!$A$3:$N$65,10,FALSE))))</f>
        <v>0</v>
      </c>
      <c r="X120" s="524">
        <f>IF(ISBLANK(A120),0,IF(ISNA(VLOOKUP($I120,Veg_Parameters!$A$3:$N$65,11,FALSE)),0,(VLOOKUP($I120,Veg_Parameters!$A$3:$N$65,11,FALSE))))</f>
        <v>0</v>
      </c>
      <c r="Y120" s="524">
        <f>IF(ISBLANK(A120),0,IF(ISNA(VLOOKUP($I120,Veg_Parameters!$A$3:$N$65,12,FALSE)),0,(VLOOKUP($I120,Veg_Parameters!$A$3:$N$65,12,FALSE))))</f>
        <v>0</v>
      </c>
      <c r="Z120" s="525">
        <f t="shared" si="152"/>
        <v>0</v>
      </c>
      <c r="AA120" s="525">
        <f t="shared" si="153"/>
        <v>0</v>
      </c>
      <c r="AB120" s="525">
        <f t="shared" si="154"/>
        <v>0</v>
      </c>
      <c r="AC120" s="524">
        <f>IF(ISBLANK(N120),0,IF(ISNA(VLOOKUP($N120,Veg_Parameters!$A$3:$N$65,10,FALSE)),0,(VLOOKUP($N120,Veg_Parameters!$A$3:$N$65,10,FALSE))))</f>
        <v>0</v>
      </c>
      <c r="AD120" s="524">
        <f>IF(ISBLANK(N120),0,IF(ISNA(VLOOKUP($N120,Veg_Parameters!$A$3:$N$65,11,FALSE)),0,(VLOOKUP($N120,Veg_Parameters!$A$3:$N$65,11,FALSE))))</f>
        <v>0</v>
      </c>
      <c r="AE120" s="524">
        <f>IF(ISBLANK(N120), 0, IF(ISNA(VLOOKUP($N120,Veg_Parameters!$A$3:$N$65,12,FALSE)),0,(VLOOKUP($N120,Veg_Parameters!$A$3:$N$65,12,FALSE))))</f>
        <v>0</v>
      </c>
      <c r="AF120" s="523">
        <f t="shared" si="155"/>
        <v>0</v>
      </c>
      <c r="AG120" s="523">
        <f t="shared" si="156"/>
        <v>0</v>
      </c>
      <c r="AH120" s="523">
        <f t="shared" si="157"/>
        <v>0</v>
      </c>
      <c r="AI120" s="526"/>
      <c r="AJ120" s="527">
        <f>AB120*(IF(ISNA(VLOOKUP($I120,Veg_Parameters!$A$3:$N$65,5,FALSE)),0,(VLOOKUP($I120,Veg_Parameters!$A$3:$N$65,5,FALSE))))</f>
        <v>0</v>
      </c>
      <c r="AK120" s="527">
        <f>IF(ISNA(VLOOKUP($I120,Veg_Parameters!$A$3:$N$65,4,FALSE)),0,(VLOOKUP($I120,Veg_Parameters!$A$3:$N$65,4,FALSE)))</f>
        <v>0</v>
      </c>
      <c r="AL120" s="527">
        <f>AB120*(IF(ISNA(VLOOKUP($I120,Veg_Parameters!$A$3:$N$65,7,FALSE)),0, (VLOOKUP($I120,Veg_Parameters!$A$3:$N$65,7,FALSE))))</f>
        <v>0</v>
      </c>
      <c r="AM120" s="528">
        <f>IF(ISNA(VLOOKUP($I120,Veg_Parameters!$A$3:$N$65,6,FALSE)), 0, (VLOOKUP($I120,Veg_Parameters!$A$3:$N$65,6,FALSE)))</f>
        <v>0</v>
      </c>
      <c r="AN120" s="529">
        <f t="shared" si="158"/>
        <v>20</v>
      </c>
      <c r="AO120" s="529">
        <f t="shared" si="159"/>
        <v>0</v>
      </c>
      <c r="AP120" s="529">
        <f t="shared" si="160"/>
        <v>0</v>
      </c>
      <c r="AQ120" s="530">
        <f t="shared" si="176"/>
        <v>0</v>
      </c>
      <c r="AR120" s="527" t="s">
        <v>3</v>
      </c>
      <c r="AS120" s="527">
        <f>IF(ISNA(VLOOKUP($I120,Veg_Parameters!$A$3:$N$65,8,FALSE)), 0, (VLOOKUP($I120,Veg_Parameters!$A$3:$N$65,8,FALSE)))</f>
        <v>0</v>
      </c>
      <c r="AT120" s="527">
        <f>AB120*(IF(ISNA(VLOOKUP($I120,Veg_Parameters!$A$3:$N$65,9,FALSE)), 0, (VLOOKUP($I120,Veg_Parameters!$A$3:$N$65,9,FALSE))))</f>
        <v>0</v>
      </c>
      <c r="AU120" s="527">
        <f>IF(ISBLANK(A120),0,VLOOKUP($I120,Veg_Parameters!$A$4:$U$65,21,))</f>
        <v>0</v>
      </c>
      <c r="AV120" s="527">
        <f t="shared" si="177"/>
        <v>0</v>
      </c>
      <c r="AW120" s="529">
        <f t="shared" si="178"/>
        <v>0</v>
      </c>
      <c r="AX120" s="529">
        <f t="shared" si="179"/>
        <v>0</v>
      </c>
      <c r="AY120" s="529">
        <f t="shared" si="161"/>
        <v>0</v>
      </c>
      <c r="AZ120" s="529">
        <f t="shared" si="180"/>
        <v>0</v>
      </c>
      <c r="BA120" s="529">
        <f t="shared" si="181"/>
        <v>0</v>
      </c>
      <c r="BB120" s="529">
        <f t="shared" si="182"/>
        <v>0</v>
      </c>
      <c r="BC120" s="529">
        <f t="shared" si="162"/>
        <v>0</v>
      </c>
      <c r="BD120" s="531"/>
      <c r="BE120" s="527">
        <f>AH120*(IF(ISNA(VLOOKUP($N120,Veg_Parameters!$A$3:$N$65,5,FALSE)),0,(VLOOKUP($N120,Veg_Parameters!$A$3:$N$65,5,FALSE))))</f>
        <v>0</v>
      </c>
      <c r="BF120" s="527">
        <f>IF(ISNA(VLOOKUP($N120,Veg_Parameters!$A$3:$N$65,4,FALSE)),0,(VLOOKUP($N120,Veg_Parameters!$A$3:$N$65,4,FALSE)))</f>
        <v>0</v>
      </c>
      <c r="BG120" s="527">
        <f>AH120*(IF(ISNA(VLOOKUP($N120,Veg_Parameters!$A$3:$N$65,7,FALSE)),0, (VLOOKUP($N120,Veg_Parameters!$A$3:$N$65,7,FALSE))))</f>
        <v>0</v>
      </c>
      <c r="BH120" s="527">
        <f>IF(ISNA(VLOOKUP($N120,Veg_Parameters!$A$3:$N$65,6,FALSE)), 0, (VLOOKUP($N120,Veg_Parameters!$A$3:$N$65,6,FALSE)))</f>
        <v>0</v>
      </c>
      <c r="BI120" s="529">
        <f t="shared" si="163"/>
        <v>20</v>
      </c>
      <c r="BJ120" s="529">
        <f t="shared" si="183"/>
        <v>0</v>
      </c>
      <c r="BK120" s="529">
        <f t="shared" si="164"/>
        <v>0</v>
      </c>
      <c r="BL120" s="530">
        <f t="shared" si="184"/>
        <v>0</v>
      </c>
      <c r="BM120" s="527" t="s">
        <v>3</v>
      </c>
      <c r="BN120" s="527">
        <f>IF(ISNA(VLOOKUP(N120,Veg_Parameters!$A$3:$N$65,8,FALSE)), 0, (VLOOKUP($N120,Veg_Parameters!$A$3:$N$65,8,FALSE)))</f>
        <v>0</v>
      </c>
      <c r="BO120" s="527">
        <f>AH120*(IF(ISNA(VLOOKUP($N120,Veg_Parameters!$A$3:$N$65,9,FALSE)), 0, (VLOOKUP($N120,Veg_Parameters!$A$3:$N$65,9,FALSE))))</f>
        <v>0</v>
      </c>
      <c r="BP120" s="527" t="str">
        <f>IF(ISBLANK(N120),"0",VLOOKUP($N120,Veg_Parameters!$A$4:$U$65,21,))</f>
        <v>0</v>
      </c>
      <c r="BQ120" s="529">
        <f t="shared" si="185"/>
        <v>0</v>
      </c>
      <c r="BR120" s="529">
        <f t="shared" si="186"/>
        <v>0</v>
      </c>
      <c r="BS120" s="529">
        <f t="shared" si="165"/>
        <v>0</v>
      </c>
      <c r="BT120" s="529">
        <f t="shared" si="187"/>
        <v>0</v>
      </c>
      <c r="BU120" s="529">
        <f t="shared" si="188"/>
        <v>0</v>
      </c>
      <c r="BV120" s="529">
        <f t="shared" si="189"/>
        <v>0</v>
      </c>
      <c r="BW120" s="532" t="str">
        <f t="shared" si="166"/>
        <v/>
      </c>
      <c r="BX120" s="532" t="str">
        <f t="shared" si="167"/>
        <v/>
      </c>
      <c r="BY120" s="532" t="str">
        <f t="shared" si="168"/>
        <v/>
      </c>
      <c r="BZ120" s="532" t="str">
        <f t="shared" si="169"/>
        <v/>
      </c>
      <c r="CA120" s="532">
        <f t="shared" si="170"/>
        <v>0</v>
      </c>
      <c r="CB120" s="533"/>
      <c r="CC120" s="624">
        <f t="shared" si="171"/>
        <v>0</v>
      </c>
      <c r="CD120" s="534">
        <f t="shared" si="172"/>
        <v>0</v>
      </c>
      <c r="CE120" s="534">
        <f t="shared" si="173"/>
        <v>0</v>
      </c>
      <c r="CF120" s="534">
        <f t="shared" si="174"/>
        <v>0</v>
      </c>
      <c r="CG120" s="534"/>
      <c r="CH120" s="534"/>
      <c r="CI120" s="534">
        <f t="shared" si="190"/>
        <v>0</v>
      </c>
      <c r="CL120" s="534">
        <f>IF(ISNA(VLOOKUP(I120,Veg_Parameters!$A$3:$N$65,13,FALSE)),0,(VLOOKUP(I120,Veg_Parameters!$A$3:$N$65,13,FALSE)))</f>
        <v>0</v>
      </c>
      <c r="CM120" s="534">
        <f t="shared" si="191"/>
        <v>0</v>
      </c>
      <c r="CN120" s="534">
        <f>IF(ISNA(VLOOKUP(N120,Veg_Parameters!$A$3:$N$65,13,FALSE)),0,(VLOOKUP(N120,Veg_Parameters!$A$3:$N$65,13,FALSE)))</f>
        <v>0</v>
      </c>
      <c r="CO120" s="523">
        <f t="shared" si="192"/>
        <v>0</v>
      </c>
    </row>
    <row r="121" spans="1:93" x14ac:dyDescent="0.2">
      <c r="A121" s="227"/>
      <c r="B121" s="171" t="str">
        <f t="shared" si="193"/>
        <v/>
      </c>
      <c r="C121" s="230"/>
      <c r="D121" s="169"/>
      <c r="E121" s="165"/>
      <c r="F121" s="165"/>
      <c r="G121" s="165"/>
      <c r="H121" s="165"/>
      <c r="I121" s="168"/>
      <c r="J121" s="167"/>
      <c r="K121" s="168"/>
      <c r="L121" s="167"/>
      <c r="M121" s="167"/>
      <c r="N121" s="168"/>
      <c r="O121" s="168"/>
      <c r="P121" s="167"/>
      <c r="Q121" s="167"/>
      <c r="R121" s="167"/>
      <c r="S121" s="222" t="str">
        <f>IF(ISBLANK(A121),"",IF(ISNA(VLOOKUP(I121,Veg_Parameters!$A$3:$N$65,3,FALSE)),0,(VLOOKUP(I121,Veg_Parameters!$A$3:$N$65,3,FALSE))))</f>
        <v/>
      </c>
      <c r="T121" s="222" t="str">
        <f>IF(ISBLANK(N121),"",IF(ISNA(VLOOKUP(N121,Veg_Parameters!$A$3:$N$65,3,FALSE)),0,(VLOOKUP(N121,Veg_Parameters!$A$3:$N$65,3,FALSE))))</f>
        <v/>
      </c>
      <c r="U121" s="523">
        <f t="shared" si="175"/>
        <v>0</v>
      </c>
      <c r="V121" s="523">
        <f t="shared" si="151"/>
        <v>0</v>
      </c>
      <c r="W121" s="524">
        <f>IF(ISBLANK(A121),0,IF(ISNA(VLOOKUP($I121,Veg_Parameters!$A$3:$N$65,10,FALSE)),0,(VLOOKUP($I121,Veg_Parameters!$A$3:$N$65,10,FALSE))))</f>
        <v>0</v>
      </c>
      <c r="X121" s="524">
        <f>IF(ISBLANK(A121),0,IF(ISNA(VLOOKUP($I121,Veg_Parameters!$A$3:$N$65,11,FALSE)),0,(VLOOKUP($I121,Veg_Parameters!$A$3:$N$65,11,FALSE))))</f>
        <v>0</v>
      </c>
      <c r="Y121" s="524">
        <f>IF(ISBLANK(A121),0,IF(ISNA(VLOOKUP($I121,Veg_Parameters!$A$3:$N$65,12,FALSE)),0,(VLOOKUP($I121,Veg_Parameters!$A$3:$N$65,12,FALSE))))</f>
        <v>0</v>
      </c>
      <c r="Z121" s="525">
        <f t="shared" si="152"/>
        <v>0</v>
      </c>
      <c r="AA121" s="525">
        <f t="shared" si="153"/>
        <v>0</v>
      </c>
      <c r="AB121" s="525">
        <f t="shared" si="154"/>
        <v>0</v>
      </c>
      <c r="AC121" s="524">
        <f>IF(ISBLANK(N121),0,IF(ISNA(VLOOKUP($N121,Veg_Parameters!$A$3:$N$65,10,FALSE)),0,(VLOOKUP($N121,Veg_Parameters!$A$3:$N$65,10,FALSE))))</f>
        <v>0</v>
      </c>
      <c r="AD121" s="524">
        <f>IF(ISBLANK(N121),0,IF(ISNA(VLOOKUP($N121,Veg_Parameters!$A$3:$N$65,11,FALSE)),0,(VLOOKUP($N121,Veg_Parameters!$A$3:$N$65,11,FALSE))))</f>
        <v>0</v>
      </c>
      <c r="AE121" s="524">
        <f>IF(ISBLANK(N121), 0, IF(ISNA(VLOOKUP($N121,Veg_Parameters!$A$3:$N$65,12,FALSE)),0,(VLOOKUP($N121,Veg_Parameters!$A$3:$N$65,12,FALSE))))</f>
        <v>0</v>
      </c>
      <c r="AF121" s="523">
        <f t="shared" si="155"/>
        <v>0</v>
      </c>
      <c r="AG121" s="523">
        <f t="shared" si="156"/>
        <v>0</v>
      </c>
      <c r="AH121" s="523">
        <f t="shared" si="157"/>
        <v>0</v>
      </c>
      <c r="AI121" s="526"/>
      <c r="AJ121" s="527">
        <f>AB121*(IF(ISNA(VLOOKUP($I121,Veg_Parameters!$A$3:$N$65,5,FALSE)),0,(VLOOKUP($I121,Veg_Parameters!$A$3:$N$65,5,FALSE))))</f>
        <v>0</v>
      </c>
      <c r="AK121" s="527">
        <f>IF(ISNA(VLOOKUP($I121,Veg_Parameters!$A$3:$N$65,4,FALSE)),0,(VLOOKUP($I121,Veg_Parameters!$A$3:$N$65,4,FALSE)))</f>
        <v>0</v>
      </c>
      <c r="AL121" s="527">
        <f>AB121*(IF(ISNA(VLOOKUP($I121,Veg_Parameters!$A$3:$N$65,7,FALSE)),0, (VLOOKUP($I121,Veg_Parameters!$A$3:$N$65,7,FALSE))))</f>
        <v>0</v>
      </c>
      <c r="AM121" s="528">
        <f>IF(ISNA(VLOOKUP($I121,Veg_Parameters!$A$3:$N$65,6,FALSE)), 0, (VLOOKUP($I121,Veg_Parameters!$A$3:$N$65,6,FALSE)))</f>
        <v>0</v>
      </c>
      <c r="AN121" s="529">
        <f t="shared" si="158"/>
        <v>20</v>
      </c>
      <c r="AO121" s="529">
        <f t="shared" si="159"/>
        <v>0</v>
      </c>
      <c r="AP121" s="529">
        <f t="shared" si="160"/>
        <v>0</v>
      </c>
      <c r="AQ121" s="530">
        <f t="shared" si="176"/>
        <v>0</v>
      </c>
      <c r="AR121" s="527" t="s">
        <v>3</v>
      </c>
      <c r="AS121" s="527">
        <f>IF(ISNA(VLOOKUP($I121,Veg_Parameters!$A$3:$N$65,8,FALSE)), 0, (VLOOKUP($I121,Veg_Parameters!$A$3:$N$65,8,FALSE)))</f>
        <v>0</v>
      </c>
      <c r="AT121" s="527">
        <f>AB121*(IF(ISNA(VLOOKUP($I121,Veg_Parameters!$A$3:$N$65,9,FALSE)), 0, (VLOOKUP($I121,Veg_Parameters!$A$3:$N$65,9,FALSE))))</f>
        <v>0</v>
      </c>
      <c r="AU121" s="527">
        <f>IF(ISBLANK(A121),0,VLOOKUP($I121,Veg_Parameters!$A$4:$U$65,21,))</f>
        <v>0</v>
      </c>
      <c r="AV121" s="527">
        <f t="shared" si="177"/>
        <v>0</v>
      </c>
      <c r="AW121" s="529">
        <f t="shared" si="178"/>
        <v>0</v>
      </c>
      <c r="AX121" s="529">
        <f t="shared" si="179"/>
        <v>0</v>
      </c>
      <c r="AY121" s="529">
        <f t="shared" si="161"/>
        <v>0</v>
      </c>
      <c r="AZ121" s="529">
        <f t="shared" si="180"/>
        <v>0</v>
      </c>
      <c r="BA121" s="529">
        <f t="shared" si="181"/>
        <v>0</v>
      </c>
      <c r="BB121" s="529">
        <f t="shared" si="182"/>
        <v>0</v>
      </c>
      <c r="BC121" s="529">
        <f t="shared" si="162"/>
        <v>0</v>
      </c>
      <c r="BD121" s="531"/>
      <c r="BE121" s="527">
        <f>AH121*(IF(ISNA(VLOOKUP($N121,Veg_Parameters!$A$3:$N$65,5,FALSE)),0,(VLOOKUP($N121,Veg_Parameters!$A$3:$N$65,5,FALSE))))</f>
        <v>0</v>
      </c>
      <c r="BF121" s="527">
        <f>IF(ISNA(VLOOKUP($N121,Veg_Parameters!$A$3:$N$65,4,FALSE)),0,(VLOOKUP($N121,Veg_Parameters!$A$3:$N$65,4,FALSE)))</f>
        <v>0</v>
      </c>
      <c r="BG121" s="527">
        <f>AH121*(IF(ISNA(VLOOKUP($N121,Veg_Parameters!$A$3:$N$65,7,FALSE)),0, (VLOOKUP($N121,Veg_Parameters!$A$3:$N$65,7,FALSE))))</f>
        <v>0</v>
      </c>
      <c r="BH121" s="527">
        <f>IF(ISNA(VLOOKUP($N121,Veg_Parameters!$A$3:$N$65,6,FALSE)), 0, (VLOOKUP($N121,Veg_Parameters!$A$3:$N$65,6,FALSE)))</f>
        <v>0</v>
      </c>
      <c r="BI121" s="529">
        <f t="shared" si="163"/>
        <v>20</v>
      </c>
      <c r="BJ121" s="529">
        <f t="shared" si="183"/>
        <v>0</v>
      </c>
      <c r="BK121" s="529">
        <f t="shared" si="164"/>
        <v>0</v>
      </c>
      <c r="BL121" s="530">
        <f t="shared" si="184"/>
        <v>0</v>
      </c>
      <c r="BM121" s="527" t="s">
        <v>3</v>
      </c>
      <c r="BN121" s="527">
        <f>IF(ISNA(VLOOKUP(N121,Veg_Parameters!$A$3:$N$65,8,FALSE)), 0, (VLOOKUP($N121,Veg_Parameters!$A$3:$N$65,8,FALSE)))</f>
        <v>0</v>
      </c>
      <c r="BO121" s="527">
        <f>AH121*(IF(ISNA(VLOOKUP($N121,Veg_Parameters!$A$3:$N$65,9,FALSE)), 0, (VLOOKUP($N121,Veg_Parameters!$A$3:$N$65,9,FALSE))))</f>
        <v>0</v>
      </c>
      <c r="BP121" s="527" t="str">
        <f>IF(ISBLANK(N121),"0",VLOOKUP($N121,Veg_Parameters!$A$4:$U$65,21,))</f>
        <v>0</v>
      </c>
      <c r="BQ121" s="529">
        <f t="shared" si="185"/>
        <v>0</v>
      </c>
      <c r="BR121" s="529">
        <f t="shared" si="186"/>
        <v>0</v>
      </c>
      <c r="BS121" s="529">
        <f t="shared" si="165"/>
        <v>0</v>
      </c>
      <c r="BT121" s="529">
        <f t="shared" si="187"/>
        <v>0</v>
      </c>
      <c r="BU121" s="529">
        <f t="shared" si="188"/>
        <v>0</v>
      </c>
      <c r="BV121" s="529">
        <f t="shared" si="189"/>
        <v>0</v>
      </c>
      <c r="BW121" s="532" t="str">
        <f t="shared" si="166"/>
        <v/>
      </c>
      <c r="BX121" s="532" t="str">
        <f t="shared" si="167"/>
        <v/>
      </c>
      <c r="BY121" s="532" t="str">
        <f t="shared" si="168"/>
        <v/>
      </c>
      <c r="BZ121" s="532" t="str">
        <f t="shared" si="169"/>
        <v/>
      </c>
      <c r="CA121" s="532">
        <f t="shared" si="170"/>
        <v>0</v>
      </c>
      <c r="CB121" s="533"/>
      <c r="CC121" s="624">
        <f t="shared" si="171"/>
        <v>0</v>
      </c>
      <c r="CD121" s="534">
        <f t="shared" si="172"/>
        <v>0</v>
      </c>
      <c r="CE121" s="534">
        <f t="shared" si="173"/>
        <v>0</v>
      </c>
      <c r="CF121" s="534">
        <f t="shared" si="174"/>
        <v>0</v>
      </c>
      <c r="CG121" s="534"/>
      <c r="CH121" s="534"/>
      <c r="CI121" s="534">
        <f t="shared" si="190"/>
        <v>0</v>
      </c>
      <c r="CL121" s="534">
        <f>IF(ISNA(VLOOKUP(I121,Veg_Parameters!$A$3:$N$65,13,FALSE)),0,(VLOOKUP(I121,Veg_Parameters!$A$3:$N$65,13,FALSE)))</f>
        <v>0</v>
      </c>
      <c r="CM121" s="534">
        <f t="shared" si="191"/>
        <v>0</v>
      </c>
      <c r="CN121" s="534">
        <f>IF(ISNA(VLOOKUP(N121,Veg_Parameters!$A$3:$N$65,13,FALSE)),0,(VLOOKUP(N121,Veg_Parameters!$A$3:$N$65,13,FALSE)))</f>
        <v>0</v>
      </c>
      <c r="CO121" s="523">
        <f t="shared" si="192"/>
        <v>0</v>
      </c>
    </row>
    <row r="122" spans="1:93" x14ac:dyDescent="0.2">
      <c r="A122" s="227"/>
      <c r="B122" s="171" t="str">
        <f t="shared" si="193"/>
        <v/>
      </c>
      <c r="C122" s="230"/>
      <c r="D122" s="169"/>
      <c r="E122" s="165"/>
      <c r="F122" s="165"/>
      <c r="G122" s="165"/>
      <c r="H122" s="165"/>
      <c r="I122" s="168"/>
      <c r="J122" s="167"/>
      <c r="K122" s="168"/>
      <c r="L122" s="167"/>
      <c r="M122" s="167"/>
      <c r="N122" s="168"/>
      <c r="O122" s="168"/>
      <c r="P122" s="167"/>
      <c r="Q122" s="167"/>
      <c r="R122" s="167"/>
      <c r="S122" s="222" t="str">
        <f>IF(ISBLANK(A122),"",IF(ISNA(VLOOKUP(I122,Veg_Parameters!$A$3:$N$65,3,FALSE)),0,(VLOOKUP(I122,Veg_Parameters!$A$3:$N$65,3,FALSE))))</f>
        <v/>
      </c>
      <c r="T122" s="222" t="str">
        <f>IF(ISBLANK(N122),"",IF(ISNA(VLOOKUP(N122,Veg_Parameters!$A$3:$N$65,3,FALSE)),0,(VLOOKUP(N122,Veg_Parameters!$A$3:$N$65,3,FALSE))))</f>
        <v/>
      </c>
      <c r="U122" s="523">
        <f t="shared" si="175"/>
        <v>0</v>
      </c>
      <c r="V122" s="523">
        <f t="shared" si="151"/>
        <v>0</v>
      </c>
      <c r="W122" s="524">
        <f>IF(ISBLANK(A122),0,IF(ISNA(VLOOKUP($I122,Veg_Parameters!$A$3:$N$65,10,FALSE)),0,(VLOOKUP($I122,Veg_Parameters!$A$3:$N$65,10,FALSE))))</f>
        <v>0</v>
      </c>
      <c r="X122" s="524">
        <f>IF(ISBLANK(A122),0,IF(ISNA(VLOOKUP($I122,Veg_Parameters!$A$3:$N$65,11,FALSE)),0,(VLOOKUP($I122,Veg_Parameters!$A$3:$N$65,11,FALSE))))</f>
        <v>0</v>
      </c>
      <c r="Y122" s="524">
        <f>IF(ISBLANK(A122),0,IF(ISNA(VLOOKUP($I122,Veg_Parameters!$A$3:$N$65,12,FALSE)),0,(VLOOKUP($I122,Veg_Parameters!$A$3:$N$65,12,FALSE))))</f>
        <v>0</v>
      </c>
      <c r="Z122" s="525">
        <f t="shared" si="152"/>
        <v>0</v>
      </c>
      <c r="AA122" s="525">
        <f t="shared" si="153"/>
        <v>0</v>
      </c>
      <c r="AB122" s="525">
        <f t="shared" si="154"/>
        <v>0</v>
      </c>
      <c r="AC122" s="524">
        <f>IF(ISBLANK(N122),0,IF(ISNA(VLOOKUP($N122,Veg_Parameters!$A$3:$N$65,10,FALSE)),0,(VLOOKUP($N122,Veg_Parameters!$A$3:$N$65,10,FALSE))))</f>
        <v>0</v>
      </c>
      <c r="AD122" s="524">
        <f>IF(ISBLANK(N122),0,IF(ISNA(VLOOKUP($N122,Veg_Parameters!$A$3:$N$65,11,FALSE)),0,(VLOOKUP($N122,Veg_Parameters!$A$3:$N$65,11,FALSE))))</f>
        <v>0</v>
      </c>
      <c r="AE122" s="524">
        <f>IF(ISBLANK(N122), 0, IF(ISNA(VLOOKUP($N122,Veg_Parameters!$A$3:$N$65,12,FALSE)),0,(VLOOKUP($N122,Veg_Parameters!$A$3:$N$65,12,FALSE))))</f>
        <v>0</v>
      </c>
      <c r="AF122" s="523">
        <f t="shared" si="155"/>
        <v>0</v>
      </c>
      <c r="AG122" s="523">
        <f t="shared" si="156"/>
        <v>0</v>
      </c>
      <c r="AH122" s="523">
        <f t="shared" si="157"/>
        <v>0</v>
      </c>
      <c r="AI122" s="526"/>
      <c r="AJ122" s="527">
        <f>AB122*(IF(ISNA(VLOOKUP($I122,Veg_Parameters!$A$3:$N$65,5,FALSE)),0,(VLOOKUP($I122,Veg_Parameters!$A$3:$N$65,5,FALSE))))</f>
        <v>0</v>
      </c>
      <c r="AK122" s="527">
        <f>IF(ISNA(VLOOKUP($I122,Veg_Parameters!$A$3:$N$65,4,FALSE)),0,(VLOOKUP($I122,Veg_Parameters!$A$3:$N$65,4,FALSE)))</f>
        <v>0</v>
      </c>
      <c r="AL122" s="527">
        <f>AB122*(IF(ISNA(VLOOKUP($I122,Veg_Parameters!$A$3:$N$65,7,FALSE)),0, (VLOOKUP($I122,Veg_Parameters!$A$3:$N$65,7,FALSE))))</f>
        <v>0</v>
      </c>
      <c r="AM122" s="528">
        <f>IF(ISNA(VLOOKUP($I122,Veg_Parameters!$A$3:$N$65,6,FALSE)), 0, (VLOOKUP($I122,Veg_Parameters!$A$3:$N$65,6,FALSE)))</f>
        <v>0</v>
      </c>
      <c r="AN122" s="529">
        <f t="shared" si="158"/>
        <v>20</v>
      </c>
      <c r="AO122" s="529">
        <f t="shared" si="159"/>
        <v>0</v>
      </c>
      <c r="AP122" s="529">
        <f t="shared" si="160"/>
        <v>0</v>
      </c>
      <c r="AQ122" s="530">
        <f t="shared" si="176"/>
        <v>0</v>
      </c>
      <c r="AR122" s="527" t="s">
        <v>3</v>
      </c>
      <c r="AS122" s="527">
        <f>IF(ISNA(VLOOKUP($I122,Veg_Parameters!$A$3:$N$65,8,FALSE)), 0, (VLOOKUP($I122,Veg_Parameters!$A$3:$N$65,8,FALSE)))</f>
        <v>0</v>
      </c>
      <c r="AT122" s="527">
        <f>AB122*(IF(ISNA(VLOOKUP($I122,Veg_Parameters!$A$3:$N$65,9,FALSE)), 0, (VLOOKUP($I122,Veg_Parameters!$A$3:$N$65,9,FALSE))))</f>
        <v>0</v>
      </c>
      <c r="AU122" s="527">
        <f>IF(ISBLANK(A122),0,VLOOKUP($I122,Veg_Parameters!$A$4:$U$65,21,))</f>
        <v>0</v>
      </c>
      <c r="AV122" s="527">
        <f t="shared" si="177"/>
        <v>0</v>
      </c>
      <c r="AW122" s="529">
        <f t="shared" si="178"/>
        <v>0</v>
      </c>
      <c r="AX122" s="529">
        <f t="shared" si="179"/>
        <v>0</v>
      </c>
      <c r="AY122" s="529">
        <f t="shared" si="161"/>
        <v>0</v>
      </c>
      <c r="AZ122" s="529">
        <f t="shared" si="180"/>
        <v>0</v>
      </c>
      <c r="BA122" s="529">
        <f t="shared" si="181"/>
        <v>0</v>
      </c>
      <c r="BB122" s="529">
        <f t="shared" si="182"/>
        <v>0</v>
      </c>
      <c r="BC122" s="529">
        <f t="shared" si="162"/>
        <v>0</v>
      </c>
      <c r="BD122" s="531"/>
      <c r="BE122" s="527">
        <f>AH122*(IF(ISNA(VLOOKUP($N122,Veg_Parameters!$A$3:$N$65,5,FALSE)),0,(VLOOKUP($N122,Veg_Parameters!$A$3:$N$65,5,FALSE))))</f>
        <v>0</v>
      </c>
      <c r="BF122" s="527">
        <f>IF(ISNA(VLOOKUP($N122,Veg_Parameters!$A$3:$N$65,4,FALSE)),0,(VLOOKUP($N122,Veg_Parameters!$A$3:$N$65,4,FALSE)))</f>
        <v>0</v>
      </c>
      <c r="BG122" s="527">
        <f>AH122*(IF(ISNA(VLOOKUP($N122,Veg_Parameters!$A$3:$N$65,7,FALSE)),0, (VLOOKUP($N122,Veg_Parameters!$A$3:$N$65,7,FALSE))))</f>
        <v>0</v>
      </c>
      <c r="BH122" s="527">
        <f>IF(ISNA(VLOOKUP($N122,Veg_Parameters!$A$3:$N$65,6,FALSE)), 0, (VLOOKUP($N122,Veg_Parameters!$A$3:$N$65,6,FALSE)))</f>
        <v>0</v>
      </c>
      <c r="BI122" s="529">
        <f t="shared" si="163"/>
        <v>20</v>
      </c>
      <c r="BJ122" s="529">
        <f t="shared" si="183"/>
        <v>0</v>
      </c>
      <c r="BK122" s="529">
        <f t="shared" si="164"/>
        <v>0</v>
      </c>
      <c r="BL122" s="530">
        <f t="shared" si="184"/>
        <v>0</v>
      </c>
      <c r="BM122" s="527" t="s">
        <v>3</v>
      </c>
      <c r="BN122" s="527">
        <f>IF(ISNA(VLOOKUP(N122,Veg_Parameters!$A$3:$N$65,8,FALSE)), 0, (VLOOKUP($N122,Veg_Parameters!$A$3:$N$65,8,FALSE)))</f>
        <v>0</v>
      </c>
      <c r="BO122" s="527">
        <f>AH122*(IF(ISNA(VLOOKUP($N122,Veg_Parameters!$A$3:$N$65,9,FALSE)), 0, (VLOOKUP($N122,Veg_Parameters!$A$3:$N$65,9,FALSE))))</f>
        <v>0</v>
      </c>
      <c r="BP122" s="527" t="str">
        <f>IF(ISBLANK(N122),"0",VLOOKUP($N122,Veg_Parameters!$A$4:$U$65,21,))</f>
        <v>0</v>
      </c>
      <c r="BQ122" s="529">
        <f t="shared" si="185"/>
        <v>0</v>
      </c>
      <c r="BR122" s="529">
        <f t="shared" si="186"/>
        <v>0</v>
      </c>
      <c r="BS122" s="529">
        <f t="shared" si="165"/>
        <v>0</v>
      </c>
      <c r="BT122" s="529">
        <f t="shared" si="187"/>
        <v>0</v>
      </c>
      <c r="BU122" s="529">
        <f t="shared" si="188"/>
        <v>0</v>
      </c>
      <c r="BV122" s="529">
        <f t="shared" si="189"/>
        <v>0</v>
      </c>
      <c r="BW122" s="532" t="str">
        <f t="shared" si="166"/>
        <v/>
      </c>
      <c r="BX122" s="532" t="str">
        <f t="shared" si="167"/>
        <v/>
      </c>
      <c r="BY122" s="532" t="str">
        <f t="shared" si="168"/>
        <v/>
      </c>
      <c r="BZ122" s="532" t="str">
        <f t="shared" si="169"/>
        <v/>
      </c>
      <c r="CA122" s="532">
        <f t="shared" si="170"/>
        <v>0</v>
      </c>
      <c r="CB122" s="533"/>
      <c r="CC122" s="624">
        <f t="shared" si="171"/>
        <v>0</v>
      </c>
      <c r="CD122" s="534">
        <f t="shared" si="172"/>
        <v>0</v>
      </c>
      <c r="CE122" s="534">
        <f t="shared" si="173"/>
        <v>0</v>
      </c>
      <c r="CF122" s="534">
        <f t="shared" si="174"/>
        <v>0</v>
      </c>
      <c r="CG122" s="534"/>
      <c r="CH122" s="534"/>
      <c r="CI122" s="534">
        <f t="shared" si="190"/>
        <v>0</v>
      </c>
      <c r="CL122" s="534">
        <f>IF(ISNA(VLOOKUP(I122,Veg_Parameters!$A$3:$N$65,13,FALSE)),0,(VLOOKUP(I122,Veg_Parameters!$A$3:$N$65,13,FALSE)))</f>
        <v>0</v>
      </c>
      <c r="CM122" s="534">
        <f t="shared" si="191"/>
        <v>0</v>
      </c>
      <c r="CN122" s="534">
        <f>IF(ISNA(VLOOKUP(N122,Veg_Parameters!$A$3:$N$65,13,FALSE)),0,(VLOOKUP(N122,Veg_Parameters!$A$3:$N$65,13,FALSE)))</f>
        <v>0</v>
      </c>
      <c r="CO122" s="523">
        <f t="shared" si="192"/>
        <v>0</v>
      </c>
    </row>
    <row r="123" spans="1:93" x14ac:dyDescent="0.2">
      <c r="A123" s="227"/>
      <c r="B123" s="171" t="str">
        <f t="shared" si="193"/>
        <v/>
      </c>
      <c r="C123" s="230"/>
      <c r="D123" s="169"/>
      <c r="E123" s="165"/>
      <c r="F123" s="165"/>
      <c r="G123" s="165"/>
      <c r="H123" s="165"/>
      <c r="I123" s="168"/>
      <c r="J123" s="167"/>
      <c r="K123" s="168"/>
      <c r="L123" s="167"/>
      <c r="M123" s="167"/>
      <c r="N123" s="168"/>
      <c r="O123" s="168"/>
      <c r="P123" s="167"/>
      <c r="Q123" s="167"/>
      <c r="R123" s="167"/>
      <c r="S123" s="222" t="str">
        <f>IF(ISBLANK(A123),"",IF(ISNA(VLOOKUP(I123,Veg_Parameters!$A$3:$N$65,3,FALSE)),0,(VLOOKUP(I123,Veg_Parameters!$A$3:$N$65,3,FALSE))))</f>
        <v/>
      </c>
      <c r="T123" s="222" t="str">
        <f>IF(ISBLANK(N123),"",IF(ISNA(VLOOKUP(N123,Veg_Parameters!$A$3:$N$65,3,FALSE)),0,(VLOOKUP(N123,Veg_Parameters!$A$3:$N$65,3,FALSE))))</f>
        <v/>
      </c>
      <c r="U123" s="523">
        <f t="shared" si="175"/>
        <v>0</v>
      </c>
      <c r="V123" s="523">
        <f t="shared" si="151"/>
        <v>0</v>
      </c>
      <c r="W123" s="524">
        <f>IF(ISBLANK(A123),0,IF(ISNA(VLOOKUP($I123,Veg_Parameters!$A$3:$N$65,10,FALSE)),0,(VLOOKUP($I123,Veg_Parameters!$A$3:$N$65,10,FALSE))))</f>
        <v>0</v>
      </c>
      <c r="X123" s="524">
        <f>IF(ISBLANK(A123),0,IF(ISNA(VLOOKUP($I123,Veg_Parameters!$A$3:$N$65,11,FALSE)),0,(VLOOKUP($I123,Veg_Parameters!$A$3:$N$65,11,FALSE))))</f>
        <v>0</v>
      </c>
      <c r="Y123" s="524">
        <f>IF(ISBLANK(A123),0,IF(ISNA(VLOOKUP($I123,Veg_Parameters!$A$3:$N$65,12,FALSE)),0,(VLOOKUP($I123,Veg_Parameters!$A$3:$N$65,12,FALSE))))</f>
        <v>0</v>
      </c>
      <c r="Z123" s="525">
        <f t="shared" si="152"/>
        <v>0</v>
      </c>
      <c r="AA123" s="525">
        <f t="shared" si="153"/>
        <v>0</v>
      </c>
      <c r="AB123" s="525">
        <f t="shared" si="154"/>
        <v>0</v>
      </c>
      <c r="AC123" s="524">
        <f>IF(ISBLANK(N123),0,IF(ISNA(VLOOKUP($N123,Veg_Parameters!$A$3:$N$65,10,FALSE)),0,(VLOOKUP($N123,Veg_Parameters!$A$3:$N$65,10,FALSE))))</f>
        <v>0</v>
      </c>
      <c r="AD123" s="524">
        <f>IF(ISBLANK(N123),0,IF(ISNA(VLOOKUP($N123,Veg_Parameters!$A$3:$N$65,11,FALSE)),0,(VLOOKUP($N123,Veg_Parameters!$A$3:$N$65,11,FALSE))))</f>
        <v>0</v>
      </c>
      <c r="AE123" s="524">
        <f>IF(ISBLANK(N123), 0, IF(ISNA(VLOOKUP($N123,Veg_Parameters!$A$3:$N$65,12,FALSE)),0,(VLOOKUP($N123,Veg_Parameters!$A$3:$N$65,12,FALSE))))</f>
        <v>0</v>
      </c>
      <c r="AF123" s="523">
        <f t="shared" si="155"/>
        <v>0</v>
      </c>
      <c r="AG123" s="523">
        <f t="shared" si="156"/>
        <v>0</v>
      </c>
      <c r="AH123" s="523">
        <f t="shared" si="157"/>
        <v>0</v>
      </c>
      <c r="AI123" s="526"/>
      <c r="AJ123" s="527">
        <f>AB123*(IF(ISNA(VLOOKUP($I123,Veg_Parameters!$A$3:$N$65,5,FALSE)),0,(VLOOKUP($I123,Veg_Parameters!$A$3:$N$65,5,FALSE))))</f>
        <v>0</v>
      </c>
      <c r="AK123" s="527">
        <f>IF(ISNA(VLOOKUP($I123,Veg_Parameters!$A$3:$N$65,4,FALSE)),0,(VLOOKUP($I123,Veg_Parameters!$A$3:$N$65,4,FALSE)))</f>
        <v>0</v>
      </c>
      <c r="AL123" s="527">
        <f>AB123*(IF(ISNA(VLOOKUP($I123,Veg_Parameters!$A$3:$N$65,7,FALSE)),0, (VLOOKUP($I123,Veg_Parameters!$A$3:$N$65,7,FALSE))))</f>
        <v>0</v>
      </c>
      <c r="AM123" s="528">
        <f>IF(ISNA(VLOOKUP($I123,Veg_Parameters!$A$3:$N$65,6,FALSE)), 0, (VLOOKUP($I123,Veg_Parameters!$A$3:$N$65,6,FALSE)))</f>
        <v>0</v>
      </c>
      <c r="AN123" s="529">
        <f t="shared" si="158"/>
        <v>20</v>
      </c>
      <c r="AO123" s="529">
        <f t="shared" si="159"/>
        <v>0</v>
      </c>
      <c r="AP123" s="529">
        <f t="shared" si="160"/>
        <v>0</v>
      </c>
      <c r="AQ123" s="530">
        <f t="shared" si="176"/>
        <v>0</v>
      </c>
      <c r="AR123" s="527" t="s">
        <v>3</v>
      </c>
      <c r="AS123" s="527">
        <f>IF(ISNA(VLOOKUP($I123,Veg_Parameters!$A$3:$N$65,8,FALSE)), 0, (VLOOKUP($I123,Veg_Parameters!$A$3:$N$65,8,FALSE)))</f>
        <v>0</v>
      </c>
      <c r="AT123" s="527">
        <f>AB123*(IF(ISNA(VLOOKUP($I123,Veg_Parameters!$A$3:$N$65,9,FALSE)), 0, (VLOOKUP($I123,Veg_Parameters!$A$3:$N$65,9,FALSE))))</f>
        <v>0</v>
      </c>
      <c r="AU123" s="527">
        <f>IF(ISBLANK(A123),0,VLOOKUP($I123,Veg_Parameters!$A$4:$U$65,21,))</f>
        <v>0</v>
      </c>
      <c r="AV123" s="527">
        <f t="shared" si="177"/>
        <v>0</v>
      </c>
      <c r="AW123" s="529">
        <f t="shared" si="178"/>
        <v>0</v>
      </c>
      <c r="AX123" s="529">
        <f t="shared" si="179"/>
        <v>0</v>
      </c>
      <c r="AY123" s="529">
        <f t="shared" si="161"/>
        <v>0</v>
      </c>
      <c r="AZ123" s="529">
        <f t="shared" si="180"/>
        <v>0</v>
      </c>
      <c r="BA123" s="529">
        <f t="shared" si="181"/>
        <v>0</v>
      </c>
      <c r="BB123" s="529">
        <f t="shared" si="182"/>
        <v>0</v>
      </c>
      <c r="BC123" s="529">
        <f t="shared" si="162"/>
        <v>0</v>
      </c>
      <c r="BD123" s="531"/>
      <c r="BE123" s="527">
        <f>AH123*(IF(ISNA(VLOOKUP($N123,Veg_Parameters!$A$3:$N$65,5,FALSE)),0,(VLOOKUP($N123,Veg_Parameters!$A$3:$N$65,5,FALSE))))</f>
        <v>0</v>
      </c>
      <c r="BF123" s="527">
        <f>IF(ISNA(VLOOKUP($N123,Veg_Parameters!$A$3:$N$65,4,FALSE)),0,(VLOOKUP($N123,Veg_Parameters!$A$3:$N$65,4,FALSE)))</f>
        <v>0</v>
      </c>
      <c r="BG123" s="527">
        <f>AH123*(IF(ISNA(VLOOKUP($N123,Veg_Parameters!$A$3:$N$65,7,FALSE)),0, (VLOOKUP($N123,Veg_Parameters!$A$3:$N$65,7,FALSE))))</f>
        <v>0</v>
      </c>
      <c r="BH123" s="527">
        <f>IF(ISNA(VLOOKUP($N123,Veg_Parameters!$A$3:$N$65,6,FALSE)), 0, (VLOOKUP($N123,Veg_Parameters!$A$3:$N$65,6,FALSE)))</f>
        <v>0</v>
      </c>
      <c r="BI123" s="529">
        <f t="shared" si="163"/>
        <v>20</v>
      </c>
      <c r="BJ123" s="529">
        <f t="shared" si="183"/>
        <v>0</v>
      </c>
      <c r="BK123" s="529">
        <f t="shared" si="164"/>
        <v>0</v>
      </c>
      <c r="BL123" s="530">
        <f t="shared" si="184"/>
        <v>0</v>
      </c>
      <c r="BM123" s="527" t="s">
        <v>3</v>
      </c>
      <c r="BN123" s="527">
        <f>IF(ISNA(VLOOKUP(N123,Veg_Parameters!$A$3:$N$65,8,FALSE)), 0, (VLOOKUP($N123,Veg_Parameters!$A$3:$N$65,8,FALSE)))</f>
        <v>0</v>
      </c>
      <c r="BO123" s="527">
        <f>AH123*(IF(ISNA(VLOOKUP($N123,Veg_Parameters!$A$3:$N$65,9,FALSE)), 0, (VLOOKUP($N123,Veg_Parameters!$A$3:$N$65,9,FALSE))))</f>
        <v>0</v>
      </c>
      <c r="BP123" s="527" t="str">
        <f>IF(ISBLANK(N123),"0",VLOOKUP($N123,Veg_Parameters!$A$4:$U$65,21,))</f>
        <v>0</v>
      </c>
      <c r="BQ123" s="529">
        <f t="shared" si="185"/>
        <v>0</v>
      </c>
      <c r="BR123" s="529">
        <f t="shared" si="186"/>
        <v>0</v>
      </c>
      <c r="BS123" s="529">
        <f t="shared" si="165"/>
        <v>0</v>
      </c>
      <c r="BT123" s="529">
        <f t="shared" si="187"/>
        <v>0</v>
      </c>
      <c r="BU123" s="529">
        <f t="shared" si="188"/>
        <v>0</v>
      </c>
      <c r="BV123" s="529">
        <f t="shared" si="189"/>
        <v>0</v>
      </c>
      <c r="BW123" s="532" t="str">
        <f t="shared" si="166"/>
        <v/>
      </c>
      <c r="BX123" s="532" t="str">
        <f t="shared" si="167"/>
        <v/>
      </c>
      <c r="BY123" s="532" t="str">
        <f t="shared" si="168"/>
        <v/>
      </c>
      <c r="BZ123" s="532" t="str">
        <f t="shared" si="169"/>
        <v/>
      </c>
      <c r="CA123" s="532">
        <f t="shared" si="170"/>
        <v>0</v>
      </c>
      <c r="CB123" s="533"/>
      <c r="CC123" s="624">
        <f t="shared" si="171"/>
        <v>0</v>
      </c>
      <c r="CD123" s="534">
        <f t="shared" si="172"/>
        <v>0</v>
      </c>
      <c r="CE123" s="534">
        <f t="shared" si="173"/>
        <v>0</v>
      </c>
      <c r="CF123" s="534">
        <f t="shared" si="174"/>
        <v>0</v>
      </c>
      <c r="CG123" s="534"/>
      <c r="CH123" s="534"/>
      <c r="CI123" s="534">
        <f t="shared" si="190"/>
        <v>0</v>
      </c>
      <c r="CL123" s="534">
        <f>IF(ISNA(VLOOKUP(I123,Veg_Parameters!$A$3:$N$65,13,FALSE)),0,(VLOOKUP(I123,Veg_Parameters!$A$3:$N$65,13,FALSE)))</f>
        <v>0</v>
      </c>
      <c r="CM123" s="534">
        <f t="shared" si="191"/>
        <v>0</v>
      </c>
      <c r="CN123" s="534">
        <f>IF(ISNA(VLOOKUP(N123,Veg_Parameters!$A$3:$N$65,13,FALSE)),0,(VLOOKUP(N123,Veg_Parameters!$A$3:$N$65,13,FALSE)))</f>
        <v>0</v>
      </c>
      <c r="CO123" s="523">
        <f t="shared" si="192"/>
        <v>0</v>
      </c>
    </row>
    <row r="124" spans="1:93" x14ac:dyDescent="0.2">
      <c r="A124" s="227"/>
      <c r="B124" s="171" t="str">
        <f t="shared" si="193"/>
        <v/>
      </c>
      <c r="C124" s="230"/>
      <c r="D124" s="169"/>
      <c r="E124" s="165"/>
      <c r="F124" s="165"/>
      <c r="G124" s="165"/>
      <c r="H124" s="165"/>
      <c r="I124" s="168"/>
      <c r="J124" s="167"/>
      <c r="K124" s="168"/>
      <c r="L124" s="167"/>
      <c r="M124" s="167"/>
      <c r="N124" s="168"/>
      <c r="O124" s="168"/>
      <c r="P124" s="167"/>
      <c r="Q124" s="167"/>
      <c r="R124" s="167"/>
      <c r="S124" s="222" t="str">
        <f>IF(ISBLANK(A124),"",IF(ISNA(VLOOKUP(I124,Veg_Parameters!$A$3:$N$65,3,FALSE)),0,(VLOOKUP(I124,Veg_Parameters!$A$3:$N$65,3,FALSE))))</f>
        <v/>
      </c>
      <c r="T124" s="222" t="str">
        <f>IF(ISBLANK(N124),"",IF(ISNA(VLOOKUP(N124,Veg_Parameters!$A$3:$N$65,3,FALSE)),0,(VLOOKUP(N124,Veg_Parameters!$A$3:$N$65,3,FALSE))))</f>
        <v/>
      </c>
      <c r="U124" s="523">
        <f t="shared" si="175"/>
        <v>0</v>
      </c>
      <c r="V124" s="523">
        <f t="shared" si="151"/>
        <v>0</v>
      </c>
      <c r="W124" s="524">
        <f>IF(ISBLANK(A124),0,IF(ISNA(VLOOKUP($I124,Veg_Parameters!$A$3:$N$65,10,FALSE)),0,(VLOOKUP($I124,Veg_Parameters!$A$3:$N$65,10,FALSE))))</f>
        <v>0</v>
      </c>
      <c r="X124" s="524">
        <f>IF(ISBLANK(A124),0,IF(ISNA(VLOOKUP($I124,Veg_Parameters!$A$3:$N$65,11,FALSE)),0,(VLOOKUP($I124,Veg_Parameters!$A$3:$N$65,11,FALSE))))</f>
        <v>0</v>
      </c>
      <c r="Y124" s="524">
        <f>IF(ISBLANK(A124),0,IF(ISNA(VLOOKUP($I124,Veg_Parameters!$A$3:$N$65,12,FALSE)),0,(VLOOKUP($I124,Veg_Parameters!$A$3:$N$65,12,FALSE))))</f>
        <v>0</v>
      </c>
      <c r="Z124" s="525">
        <f t="shared" si="152"/>
        <v>0</v>
      </c>
      <c r="AA124" s="525">
        <f t="shared" si="153"/>
        <v>0</v>
      </c>
      <c r="AB124" s="525">
        <f t="shared" si="154"/>
        <v>0</v>
      </c>
      <c r="AC124" s="524">
        <f>IF(ISBLANK(N124),0,IF(ISNA(VLOOKUP($N124,Veg_Parameters!$A$3:$N$65,10,FALSE)),0,(VLOOKUP($N124,Veg_Parameters!$A$3:$N$65,10,FALSE))))</f>
        <v>0</v>
      </c>
      <c r="AD124" s="524">
        <f>IF(ISBLANK(N124),0,IF(ISNA(VLOOKUP($N124,Veg_Parameters!$A$3:$N$65,11,FALSE)),0,(VLOOKUP($N124,Veg_Parameters!$A$3:$N$65,11,FALSE))))</f>
        <v>0</v>
      </c>
      <c r="AE124" s="524">
        <f>IF(ISBLANK(N124), 0, IF(ISNA(VLOOKUP($N124,Veg_Parameters!$A$3:$N$65,12,FALSE)),0,(VLOOKUP($N124,Veg_Parameters!$A$3:$N$65,12,FALSE))))</f>
        <v>0</v>
      </c>
      <c r="AF124" s="523">
        <f t="shared" si="155"/>
        <v>0</v>
      </c>
      <c r="AG124" s="523">
        <f t="shared" si="156"/>
        <v>0</v>
      </c>
      <c r="AH124" s="523">
        <f t="shared" si="157"/>
        <v>0</v>
      </c>
      <c r="AI124" s="526"/>
      <c r="AJ124" s="527">
        <f>AB124*(IF(ISNA(VLOOKUP($I124,Veg_Parameters!$A$3:$N$65,5,FALSE)),0,(VLOOKUP($I124,Veg_Parameters!$A$3:$N$65,5,FALSE))))</f>
        <v>0</v>
      </c>
      <c r="AK124" s="527">
        <f>IF(ISNA(VLOOKUP($I124,Veg_Parameters!$A$3:$N$65,4,FALSE)),0,(VLOOKUP($I124,Veg_Parameters!$A$3:$N$65,4,FALSE)))</f>
        <v>0</v>
      </c>
      <c r="AL124" s="527">
        <f>AB124*(IF(ISNA(VLOOKUP($I124,Veg_Parameters!$A$3:$N$65,7,FALSE)),0, (VLOOKUP($I124,Veg_Parameters!$A$3:$N$65,7,FALSE))))</f>
        <v>0</v>
      </c>
      <c r="AM124" s="528">
        <f>IF(ISNA(VLOOKUP($I124,Veg_Parameters!$A$3:$N$65,6,FALSE)), 0, (VLOOKUP($I124,Veg_Parameters!$A$3:$N$65,6,FALSE)))</f>
        <v>0</v>
      </c>
      <c r="AN124" s="529">
        <f t="shared" si="158"/>
        <v>20</v>
      </c>
      <c r="AO124" s="529">
        <f t="shared" si="159"/>
        <v>0</v>
      </c>
      <c r="AP124" s="529">
        <f t="shared" si="160"/>
        <v>0</v>
      </c>
      <c r="AQ124" s="530">
        <f t="shared" si="176"/>
        <v>0</v>
      </c>
      <c r="AR124" s="527" t="s">
        <v>3</v>
      </c>
      <c r="AS124" s="527">
        <f>IF(ISNA(VLOOKUP($I124,Veg_Parameters!$A$3:$N$65,8,FALSE)), 0, (VLOOKUP($I124,Veg_Parameters!$A$3:$N$65,8,FALSE)))</f>
        <v>0</v>
      </c>
      <c r="AT124" s="527">
        <f>AB124*(IF(ISNA(VLOOKUP($I124,Veg_Parameters!$A$3:$N$65,9,FALSE)), 0, (VLOOKUP($I124,Veg_Parameters!$A$3:$N$65,9,FALSE))))</f>
        <v>0</v>
      </c>
      <c r="AU124" s="527">
        <f>IF(ISBLANK(A124),0,VLOOKUP($I124,Veg_Parameters!$A$4:$U$65,21,))</f>
        <v>0</v>
      </c>
      <c r="AV124" s="527">
        <f t="shared" si="177"/>
        <v>0</v>
      </c>
      <c r="AW124" s="529">
        <f t="shared" si="178"/>
        <v>0</v>
      </c>
      <c r="AX124" s="529">
        <f t="shared" si="179"/>
        <v>0</v>
      </c>
      <c r="AY124" s="529">
        <f t="shared" si="161"/>
        <v>0</v>
      </c>
      <c r="AZ124" s="529">
        <f t="shared" si="180"/>
        <v>0</v>
      </c>
      <c r="BA124" s="529">
        <f t="shared" si="181"/>
        <v>0</v>
      </c>
      <c r="BB124" s="529">
        <f t="shared" si="182"/>
        <v>0</v>
      </c>
      <c r="BC124" s="529">
        <f t="shared" si="162"/>
        <v>0</v>
      </c>
      <c r="BD124" s="531"/>
      <c r="BE124" s="527">
        <f>AH124*(IF(ISNA(VLOOKUP($N124,Veg_Parameters!$A$3:$N$65,5,FALSE)),0,(VLOOKUP($N124,Veg_Parameters!$A$3:$N$65,5,FALSE))))</f>
        <v>0</v>
      </c>
      <c r="BF124" s="527">
        <f>IF(ISNA(VLOOKUP($N124,Veg_Parameters!$A$3:$N$65,4,FALSE)),0,(VLOOKUP($N124,Veg_Parameters!$A$3:$N$65,4,FALSE)))</f>
        <v>0</v>
      </c>
      <c r="BG124" s="527">
        <f>AH124*(IF(ISNA(VLOOKUP($N124,Veg_Parameters!$A$3:$N$65,7,FALSE)),0, (VLOOKUP($N124,Veg_Parameters!$A$3:$N$65,7,FALSE))))</f>
        <v>0</v>
      </c>
      <c r="BH124" s="527">
        <f>IF(ISNA(VLOOKUP($N124,Veg_Parameters!$A$3:$N$65,6,FALSE)), 0, (VLOOKUP($N124,Veg_Parameters!$A$3:$N$65,6,FALSE)))</f>
        <v>0</v>
      </c>
      <c r="BI124" s="529">
        <f t="shared" si="163"/>
        <v>20</v>
      </c>
      <c r="BJ124" s="529">
        <f t="shared" si="183"/>
        <v>0</v>
      </c>
      <c r="BK124" s="529">
        <f t="shared" si="164"/>
        <v>0</v>
      </c>
      <c r="BL124" s="530">
        <f t="shared" si="184"/>
        <v>0</v>
      </c>
      <c r="BM124" s="527" t="s">
        <v>3</v>
      </c>
      <c r="BN124" s="527">
        <f>IF(ISNA(VLOOKUP(N124,Veg_Parameters!$A$3:$N$65,8,FALSE)), 0, (VLOOKUP($N124,Veg_Parameters!$A$3:$N$65,8,FALSE)))</f>
        <v>0</v>
      </c>
      <c r="BO124" s="527">
        <f>AH124*(IF(ISNA(VLOOKUP($N124,Veg_Parameters!$A$3:$N$65,9,FALSE)), 0, (VLOOKUP($N124,Veg_Parameters!$A$3:$N$65,9,FALSE))))</f>
        <v>0</v>
      </c>
      <c r="BP124" s="527" t="str">
        <f>IF(ISBLANK(N124),"0",VLOOKUP($N124,Veg_Parameters!$A$4:$U$65,21,))</f>
        <v>0</v>
      </c>
      <c r="BQ124" s="529">
        <f t="shared" si="185"/>
        <v>0</v>
      </c>
      <c r="BR124" s="529">
        <f t="shared" si="186"/>
        <v>0</v>
      </c>
      <c r="BS124" s="529">
        <f t="shared" si="165"/>
        <v>0</v>
      </c>
      <c r="BT124" s="529">
        <f t="shared" si="187"/>
        <v>0</v>
      </c>
      <c r="BU124" s="529">
        <f t="shared" si="188"/>
        <v>0</v>
      </c>
      <c r="BV124" s="529">
        <f t="shared" si="189"/>
        <v>0</v>
      </c>
      <c r="BW124" s="532" t="str">
        <f t="shared" si="166"/>
        <v/>
      </c>
      <c r="BX124" s="532" t="str">
        <f t="shared" si="167"/>
        <v/>
      </c>
      <c r="BY124" s="532" t="str">
        <f t="shared" si="168"/>
        <v/>
      </c>
      <c r="BZ124" s="532" t="str">
        <f t="shared" si="169"/>
        <v/>
      </c>
      <c r="CA124" s="532">
        <f t="shared" si="170"/>
        <v>0</v>
      </c>
      <c r="CB124" s="533"/>
      <c r="CC124" s="624">
        <f t="shared" si="171"/>
        <v>0</v>
      </c>
      <c r="CD124" s="534">
        <f t="shared" si="172"/>
        <v>0</v>
      </c>
      <c r="CE124" s="534">
        <f t="shared" si="173"/>
        <v>0</v>
      </c>
      <c r="CF124" s="534">
        <f t="shared" si="174"/>
        <v>0</v>
      </c>
      <c r="CG124" s="534"/>
      <c r="CH124" s="534"/>
      <c r="CI124" s="534">
        <f t="shared" si="190"/>
        <v>0</v>
      </c>
      <c r="CL124" s="534">
        <f>IF(ISNA(VLOOKUP(I124,Veg_Parameters!$A$3:$N$65,13,FALSE)),0,(VLOOKUP(I124,Veg_Parameters!$A$3:$N$65,13,FALSE)))</f>
        <v>0</v>
      </c>
      <c r="CM124" s="534">
        <f t="shared" si="191"/>
        <v>0</v>
      </c>
      <c r="CN124" s="534">
        <f>IF(ISNA(VLOOKUP(N124,Veg_Parameters!$A$3:$N$65,13,FALSE)),0,(VLOOKUP(N124,Veg_Parameters!$A$3:$N$65,13,FALSE)))</f>
        <v>0</v>
      </c>
      <c r="CO124" s="523">
        <f t="shared" si="192"/>
        <v>0</v>
      </c>
    </row>
    <row r="125" spans="1:93" x14ac:dyDescent="0.2">
      <c r="A125" s="227"/>
      <c r="B125" s="171" t="str">
        <f t="shared" si="193"/>
        <v/>
      </c>
      <c r="C125" s="230"/>
      <c r="D125" s="169"/>
      <c r="E125" s="165"/>
      <c r="F125" s="165"/>
      <c r="G125" s="165"/>
      <c r="H125" s="165"/>
      <c r="I125" s="168"/>
      <c r="J125" s="167"/>
      <c r="K125" s="168"/>
      <c r="L125" s="167"/>
      <c r="M125" s="167"/>
      <c r="N125" s="168"/>
      <c r="O125" s="168"/>
      <c r="P125" s="167"/>
      <c r="Q125" s="167"/>
      <c r="R125" s="167"/>
      <c r="S125" s="222" t="str">
        <f>IF(ISBLANK(A125),"",IF(ISNA(VLOOKUP(I125,Veg_Parameters!$A$3:$N$65,3,FALSE)),0,(VLOOKUP(I125,Veg_Parameters!$A$3:$N$65,3,FALSE))))</f>
        <v/>
      </c>
      <c r="T125" s="222" t="str">
        <f>IF(ISBLANK(N125),"",IF(ISNA(VLOOKUP(N125,Veg_Parameters!$A$3:$N$65,3,FALSE)),0,(VLOOKUP(N125,Veg_Parameters!$A$3:$N$65,3,FALSE))))</f>
        <v/>
      </c>
      <c r="U125" s="523">
        <f t="shared" si="175"/>
        <v>0</v>
      </c>
      <c r="V125" s="523">
        <f t="shared" si="151"/>
        <v>0</v>
      </c>
      <c r="W125" s="524">
        <f>IF(ISBLANK(A125),0,IF(ISNA(VLOOKUP($I125,Veg_Parameters!$A$3:$N$65,10,FALSE)),0,(VLOOKUP($I125,Veg_Parameters!$A$3:$N$65,10,FALSE))))</f>
        <v>0</v>
      </c>
      <c r="X125" s="524">
        <f>IF(ISBLANK(A125),0,IF(ISNA(VLOOKUP($I125,Veg_Parameters!$A$3:$N$65,11,FALSE)),0,(VLOOKUP($I125,Veg_Parameters!$A$3:$N$65,11,FALSE))))</f>
        <v>0</v>
      </c>
      <c r="Y125" s="524">
        <f>IF(ISBLANK(A125),0,IF(ISNA(VLOOKUP($I125,Veg_Parameters!$A$3:$N$65,12,FALSE)),0,(VLOOKUP($I125,Veg_Parameters!$A$3:$N$65,12,FALSE))))</f>
        <v>0</v>
      </c>
      <c r="Z125" s="525">
        <f t="shared" si="152"/>
        <v>0</v>
      </c>
      <c r="AA125" s="525">
        <f t="shared" si="153"/>
        <v>0</v>
      </c>
      <c r="AB125" s="525">
        <f t="shared" si="154"/>
        <v>0</v>
      </c>
      <c r="AC125" s="524">
        <f>IF(ISBLANK(N125),0,IF(ISNA(VLOOKUP($N125,Veg_Parameters!$A$3:$N$65,10,FALSE)),0,(VLOOKUP($N125,Veg_Parameters!$A$3:$N$65,10,FALSE))))</f>
        <v>0</v>
      </c>
      <c r="AD125" s="524">
        <f>IF(ISBLANK(N125),0,IF(ISNA(VLOOKUP($N125,Veg_Parameters!$A$3:$N$65,11,FALSE)),0,(VLOOKUP($N125,Veg_Parameters!$A$3:$N$65,11,FALSE))))</f>
        <v>0</v>
      </c>
      <c r="AE125" s="524">
        <f>IF(ISBLANK(N125), 0, IF(ISNA(VLOOKUP($N125,Veg_Parameters!$A$3:$N$65,12,FALSE)),0,(VLOOKUP($N125,Veg_Parameters!$A$3:$N$65,12,FALSE))))</f>
        <v>0</v>
      </c>
      <c r="AF125" s="523">
        <f t="shared" si="155"/>
        <v>0</v>
      </c>
      <c r="AG125" s="523">
        <f t="shared" si="156"/>
        <v>0</v>
      </c>
      <c r="AH125" s="523">
        <f t="shared" si="157"/>
        <v>0</v>
      </c>
      <c r="AI125" s="526"/>
      <c r="AJ125" s="527">
        <f>AB125*(IF(ISNA(VLOOKUP($I125,Veg_Parameters!$A$3:$N$65,5,FALSE)),0,(VLOOKUP($I125,Veg_Parameters!$A$3:$N$65,5,FALSE))))</f>
        <v>0</v>
      </c>
      <c r="AK125" s="527">
        <f>IF(ISNA(VLOOKUP($I125,Veg_Parameters!$A$3:$N$65,4,FALSE)),0,(VLOOKUP($I125,Veg_Parameters!$A$3:$N$65,4,FALSE)))</f>
        <v>0</v>
      </c>
      <c r="AL125" s="527">
        <f>AB125*(IF(ISNA(VLOOKUP($I125,Veg_Parameters!$A$3:$N$65,7,FALSE)),0, (VLOOKUP($I125,Veg_Parameters!$A$3:$N$65,7,FALSE))))</f>
        <v>0</v>
      </c>
      <c r="AM125" s="528">
        <f>IF(ISNA(VLOOKUP($I125,Veg_Parameters!$A$3:$N$65,6,FALSE)), 0, (VLOOKUP($I125,Veg_Parameters!$A$3:$N$65,6,FALSE)))</f>
        <v>0</v>
      </c>
      <c r="AN125" s="529">
        <f t="shared" si="158"/>
        <v>20</v>
      </c>
      <c r="AO125" s="529">
        <f t="shared" si="159"/>
        <v>0</v>
      </c>
      <c r="AP125" s="529">
        <f t="shared" si="160"/>
        <v>0</v>
      </c>
      <c r="AQ125" s="530">
        <f t="shared" si="176"/>
        <v>0</v>
      </c>
      <c r="AR125" s="527" t="s">
        <v>3</v>
      </c>
      <c r="AS125" s="527">
        <f>IF(ISNA(VLOOKUP($I125,Veg_Parameters!$A$3:$N$65,8,FALSE)), 0, (VLOOKUP($I125,Veg_Parameters!$A$3:$N$65,8,FALSE)))</f>
        <v>0</v>
      </c>
      <c r="AT125" s="527">
        <f>AB125*(IF(ISNA(VLOOKUP($I125,Veg_Parameters!$A$3:$N$65,9,FALSE)), 0, (VLOOKUP($I125,Veg_Parameters!$A$3:$N$65,9,FALSE))))</f>
        <v>0</v>
      </c>
      <c r="AU125" s="527">
        <f>IF(ISBLANK(A125),0,VLOOKUP($I125,Veg_Parameters!$A$4:$U$65,21,))</f>
        <v>0</v>
      </c>
      <c r="AV125" s="527">
        <f t="shared" si="177"/>
        <v>0</v>
      </c>
      <c r="AW125" s="529">
        <f t="shared" si="178"/>
        <v>0</v>
      </c>
      <c r="AX125" s="529">
        <f t="shared" si="179"/>
        <v>0</v>
      </c>
      <c r="AY125" s="529">
        <f t="shared" si="161"/>
        <v>0</v>
      </c>
      <c r="AZ125" s="529">
        <f t="shared" si="180"/>
        <v>0</v>
      </c>
      <c r="BA125" s="529">
        <f t="shared" si="181"/>
        <v>0</v>
      </c>
      <c r="BB125" s="529">
        <f t="shared" si="182"/>
        <v>0</v>
      </c>
      <c r="BC125" s="529">
        <f t="shared" si="162"/>
        <v>0</v>
      </c>
      <c r="BD125" s="531"/>
      <c r="BE125" s="527">
        <f>AH125*(IF(ISNA(VLOOKUP($N125,Veg_Parameters!$A$3:$N$65,5,FALSE)),0,(VLOOKUP($N125,Veg_Parameters!$A$3:$N$65,5,FALSE))))</f>
        <v>0</v>
      </c>
      <c r="BF125" s="527">
        <f>IF(ISNA(VLOOKUP($N125,Veg_Parameters!$A$3:$N$65,4,FALSE)),0,(VLOOKUP($N125,Veg_Parameters!$A$3:$N$65,4,FALSE)))</f>
        <v>0</v>
      </c>
      <c r="BG125" s="527">
        <f>AH125*(IF(ISNA(VLOOKUP($N125,Veg_Parameters!$A$3:$N$65,7,FALSE)),0, (VLOOKUP($N125,Veg_Parameters!$A$3:$N$65,7,FALSE))))</f>
        <v>0</v>
      </c>
      <c r="BH125" s="527">
        <f>IF(ISNA(VLOOKUP($N125,Veg_Parameters!$A$3:$N$65,6,FALSE)), 0, (VLOOKUP($N125,Veg_Parameters!$A$3:$N$65,6,FALSE)))</f>
        <v>0</v>
      </c>
      <c r="BI125" s="529">
        <f t="shared" si="163"/>
        <v>20</v>
      </c>
      <c r="BJ125" s="529">
        <f t="shared" si="183"/>
        <v>0</v>
      </c>
      <c r="BK125" s="529">
        <f t="shared" si="164"/>
        <v>0</v>
      </c>
      <c r="BL125" s="530">
        <f t="shared" si="184"/>
        <v>0</v>
      </c>
      <c r="BM125" s="527" t="s">
        <v>3</v>
      </c>
      <c r="BN125" s="527">
        <f>IF(ISNA(VLOOKUP(N125,Veg_Parameters!$A$3:$N$65,8,FALSE)), 0, (VLOOKUP($N125,Veg_Parameters!$A$3:$N$65,8,FALSE)))</f>
        <v>0</v>
      </c>
      <c r="BO125" s="527">
        <f>AH125*(IF(ISNA(VLOOKUP($N125,Veg_Parameters!$A$3:$N$65,9,FALSE)), 0, (VLOOKUP($N125,Veg_Parameters!$A$3:$N$65,9,FALSE))))</f>
        <v>0</v>
      </c>
      <c r="BP125" s="527" t="str">
        <f>IF(ISBLANK(N125),"0",VLOOKUP($N125,Veg_Parameters!$A$4:$U$65,21,))</f>
        <v>0</v>
      </c>
      <c r="BQ125" s="529">
        <f t="shared" si="185"/>
        <v>0</v>
      </c>
      <c r="BR125" s="529">
        <f t="shared" si="186"/>
        <v>0</v>
      </c>
      <c r="BS125" s="529">
        <f t="shared" si="165"/>
        <v>0</v>
      </c>
      <c r="BT125" s="529">
        <f t="shared" si="187"/>
        <v>0</v>
      </c>
      <c r="BU125" s="529">
        <f t="shared" si="188"/>
        <v>0</v>
      </c>
      <c r="BV125" s="529">
        <f t="shared" si="189"/>
        <v>0</v>
      </c>
      <c r="BW125" s="532" t="str">
        <f t="shared" si="166"/>
        <v/>
      </c>
      <c r="BX125" s="532" t="str">
        <f t="shared" si="167"/>
        <v/>
      </c>
      <c r="BY125" s="532" t="str">
        <f t="shared" si="168"/>
        <v/>
      </c>
      <c r="BZ125" s="532" t="str">
        <f t="shared" si="169"/>
        <v/>
      </c>
      <c r="CA125" s="532">
        <f t="shared" si="170"/>
        <v>0</v>
      </c>
      <c r="CB125" s="533"/>
      <c r="CC125" s="624">
        <f t="shared" si="171"/>
        <v>0</v>
      </c>
      <c r="CD125" s="534">
        <f t="shared" si="172"/>
        <v>0</v>
      </c>
      <c r="CE125" s="534">
        <f t="shared" si="173"/>
        <v>0</v>
      </c>
      <c r="CF125" s="534">
        <f t="shared" si="174"/>
        <v>0</v>
      </c>
      <c r="CG125" s="534"/>
      <c r="CH125" s="534"/>
      <c r="CI125" s="534">
        <f t="shared" si="190"/>
        <v>0</v>
      </c>
      <c r="CL125" s="534">
        <f>IF(ISNA(VLOOKUP(I125,Veg_Parameters!$A$3:$N$65,13,FALSE)),0,(VLOOKUP(I125,Veg_Parameters!$A$3:$N$65,13,FALSE)))</f>
        <v>0</v>
      </c>
      <c r="CM125" s="534">
        <f t="shared" si="191"/>
        <v>0</v>
      </c>
      <c r="CN125" s="534">
        <f>IF(ISNA(VLOOKUP(N125,Veg_Parameters!$A$3:$N$65,13,FALSE)),0,(VLOOKUP(N125,Veg_Parameters!$A$3:$N$65,13,FALSE)))</f>
        <v>0</v>
      </c>
      <c r="CO125" s="523">
        <f t="shared" si="192"/>
        <v>0</v>
      </c>
    </row>
    <row r="126" spans="1:93" x14ac:dyDescent="0.2">
      <c r="A126" s="227"/>
      <c r="B126" s="171" t="str">
        <f t="shared" si="193"/>
        <v/>
      </c>
      <c r="C126" s="230"/>
      <c r="D126" s="169"/>
      <c r="E126" s="165"/>
      <c r="F126" s="165"/>
      <c r="G126" s="165"/>
      <c r="H126" s="165"/>
      <c r="I126" s="168"/>
      <c r="J126" s="167"/>
      <c r="K126" s="168"/>
      <c r="L126" s="167"/>
      <c r="M126" s="167"/>
      <c r="N126" s="168"/>
      <c r="O126" s="168"/>
      <c r="P126" s="167"/>
      <c r="Q126" s="167"/>
      <c r="R126" s="167"/>
      <c r="S126" s="222" t="str">
        <f>IF(ISBLANK(A126),"",IF(ISNA(VLOOKUP(I126,Veg_Parameters!$A$3:$N$65,3,FALSE)),0,(VLOOKUP(I126,Veg_Parameters!$A$3:$N$65,3,FALSE))))</f>
        <v/>
      </c>
      <c r="T126" s="222" t="str">
        <f>IF(ISBLANK(N126),"",IF(ISNA(VLOOKUP(N126,Veg_Parameters!$A$3:$N$65,3,FALSE)),0,(VLOOKUP(N126,Veg_Parameters!$A$3:$N$65,3,FALSE))))</f>
        <v/>
      </c>
      <c r="U126" s="523">
        <f t="shared" si="175"/>
        <v>0</v>
      </c>
      <c r="V126" s="523">
        <f t="shared" si="151"/>
        <v>0</v>
      </c>
      <c r="W126" s="524">
        <f>IF(ISBLANK(A126),0,IF(ISNA(VLOOKUP($I126,Veg_Parameters!$A$3:$N$65,10,FALSE)),0,(VLOOKUP($I126,Veg_Parameters!$A$3:$N$65,10,FALSE))))</f>
        <v>0</v>
      </c>
      <c r="X126" s="524">
        <f>IF(ISBLANK(A126),0,IF(ISNA(VLOOKUP($I126,Veg_Parameters!$A$3:$N$65,11,FALSE)),0,(VLOOKUP($I126,Veg_Parameters!$A$3:$N$65,11,FALSE))))</f>
        <v>0</v>
      </c>
      <c r="Y126" s="524">
        <f>IF(ISBLANK(A126),0,IF(ISNA(VLOOKUP($I126,Veg_Parameters!$A$3:$N$65,12,FALSE)),0,(VLOOKUP($I126,Veg_Parameters!$A$3:$N$65,12,FALSE))))</f>
        <v>0</v>
      </c>
      <c r="Z126" s="525">
        <f t="shared" si="152"/>
        <v>0</v>
      </c>
      <c r="AA126" s="525">
        <f t="shared" si="153"/>
        <v>0</v>
      </c>
      <c r="AB126" s="525">
        <f t="shared" si="154"/>
        <v>0</v>
      </c>
      <c r="AC126" s="524">
        <f>IF(ISBLANK(N126),0,IF(ISNA(VLOOKUP($N126,Veg_Parameters!$A$3:$N$65,10,FALSE)),0,(VLOOKUP($N126,Veg_Parameters!$A$3:$N$65,10,FALSE))))</f>
        <v>0</v>
      </c>
      <c r="AD126" s="524">
        <f>IF(ISBLANK(N126),0,IF(ISNA(VLOOKUP($N126,Veg_Parameters!$A$3:$N$65,11,FALSE)),0,(VLOOKUP($N126,Veg_Parameters!$A$3:$N$65,11,FALSE))))</f>
        <v>0</v>
      </c>
      <c r="AE126" s="524">
        <f>IF(ISBLANK(N126), 0, IF(ISNA(VLOOKUP($N126,Veg_Parameters!$A$3:$N$65,12,FALSE)),0,(VLOOKUP($N126,Veg_Parameters!$A$3:$N$65,12,FALSE))))</f>
        <v>0</v>
      </c>
      <c r="AF126" s="523">
        <f t="shared" si="155"/>
        <v>0</v>
      </c>
      <c r="AG126" s="523">
        <f t="shared" si="156"/>
        <v>0</v>
      </c>
      <c r="AH126" s="523">
        <f t="shared" si="157"/>
        <v>0</v>
      </c>
      <c r="AI126" s="526"/>
      <c r="AJ126" s="527">
        <f>AB126*(IF(ISNA(VLOOKUP($I126,Veg_Parameters!$A$3:$N$65,5,FALSE)),0,(VLOOKUP($I126,Veg_Parameters!$A$3:$N$65,5,FALSE))))</f>
        <v>0</v>
      </c>
      <c r="AK126" s="527">
        <f>IF(ISNA(VLOOKUP($I126,Veg_Parameters!$A$3:$N$65,4,FALSE)),0,(VLOOKUP($I126,Veg_Parameters!$A$3:$N$65,4,FALSE)))</f>
        <v>0</v>
      </c>
      <c r="AL126" s="527">
        <f>AB126*(IF(ISNA(VLOOKUP($I126,Veg_Parameters!$A$3:$N$65,7,FALSE)),0, (VLOOKUP($I126,Veg_Parameters!$A$3:$N$65,7,FALSE))))</f>
        <v>0</v>
      </c>
      <c r="AM126" s="528">
        <f>IF(ISNA(VLOOKUP($I126,Veg_Parameters!$A$3:$N$65,6,FALSE)), 0, (VLOOKUP($I126,Veg_Parameters!$A$3:$N$65,6,FALSE)))</f>
        <v>0</v>
      </c>
      <c r="AN126" s="529">
        <f t="shared" si="158"/>
        <v>20</v>
      </c>
      <c r="AO126" s="529">
        <f t="shared" si="159"/>
        <v>0</v>
      </c>
      <c r="AP126" s="529">
        <f t="shared" si="160"/>
        <v>0</v>
      </c>
      <c r="AQ126" s="530">
        <f t="shared" si="176"/>
        <v>0</v>
      </c>
      <c r="AR126" s="527" t="s">
        <v>3</v>
      </c>
      <c r="AS126" s="527">
        <f>IF(ISNA(VLOOKUP($I126,Veg_Parameters!$A$3:$N$65,8,FALSE)), 0, (VLOOKUP($I126,Veg_Parameters!$A$3:$N$65,8,FALSE)))</f>
        <v>0</v>
      </c>
      <c r="AT126" s="527">
        <f>AB126*(IF(ISNA(VLOOKUP($I126,Veg_Parameters!$A$3:$N$65,9,FALSE)), 0, (VLOOKUP($I126,Veg_Parameters!$A$3:$N$65,9,FALSE))))</f>
        <v>0</v>
      </c>
      <c r="AU126" s="527">
        <f>IF(ISBLANK(A126),0,VLOOKUP($I126,Veg_Parameters!$A$4:$U$65,21,))</f>
        <v>0</v>
      </c>
      <c r="AV126" s="527">
        <f t="shared" si="177"/>
        <v>0</v>
      </c>
      <c r="AW126" s="529">
        <f t="shared" si="178"/>
        <v>0</v>
      </c>
      <c r="AX126" s="529">
        <f t="shared" si="179"/>
        <v>0</v>
      </c>
      <c r="AY126" s="529">
        <f t="shared" si="161"/>
        <v>0</v>
      </c>
      <c r="AZ126" s="529">
        <f t="shared" si="180"/>
        <v>0</v>
      </c>
      <c r="BA126" s="529">
        <f t="shared" si="181"/>
        <v>0</v>
      </c>
      <c r="BB126" s="529">
        <f t="shared" si="182"/>
        <v>0</v>
      </c>
      <c r="BC126" s="529">
        <f t="shared" si="162"/>
        <v>0</v>
      </c>
      <c r="BD126" s="531"/>
      <c r="BE126" s="527">
        <f>AH126*(IF(ISNA(VLOOKUP($N126,Veg_Parameters!$A$3:$N$65,5,FALSE)),0,(VLOOKUP($N126,Veg_Parameters!$A$3:$N$65,5,FALSE))))</f>
        <v>0</v>
      </c>
      <c r="BF126" s="527">
        <f>IF(ISNA(VLOOKUP($N126,Veg_Parameters!$A$3:$N$65,4,FALSE)),0,(VLOOKUP($N126,Veg_Parameters!$A$3:$N$65,4,FALSE)))</f>
        <v>0</v>
      </c>
      <c r="BG126" s="527">
        <f>AH126*(IF(ISNA(VLOOKUP($N126,Veg_Parameters!$A$3:$N$65,7,FALSE)),0, (VLOOKUP($N126,Veg_Parameters!$A$3:$N$65,7,FALSE))))</f>
        <v>0</v>
      </c>
      <c r="BH126" s="527">
        <f>IF(ISNA(VLOOKUP($N126,Veg_Parameters!$A$3:$N$65,6,FALSE)), 0, (VLOOKUP($N126,Veg_Parameters!$A$3:$N$65,6,FALSE)))</f>
        <v>0</v>
      </c>
      <c r="BI126" s="529">
        <f t="shared" si="163"/>
        <v>20</v>
      </c>
      <c r="BJ126" s="529">
        <f t="shared" si="183"/>
        <v>0</v>
      </c>
      <c r="BK126" s="529">
        <f t="shared" si="164"/>
        <v>0</v>
      </c>
      <c r="BL126" s="530">
        <f t="shared" si="184"/>
        <v>0</v>
      </c>
      <c r="BM126" s="527" t="s">
        <v>3</v>
      </c>
      <c r="BN126" s="527">
        <f>IF(ISNA(VLOOKUP(N126,Veg_Parameters!$A$3:$N$65,8,FALSE)), 0, (VLOOKUP($N126,Veg_Parameters!$A$3:$N$65,8,FALSE)))</f>
        <v>0</v>
      </c>
      <c r="BO126" s="527">
        <f>AH126*(IF(ISNA(VLOOKUP($N126,Veg_Parameters!$A$3:$N$65,9,FALSE)), 0, (VLOOKUP($N126,Veg_Parameters!$A$3:$N$65,9,FALSE))))</f>
        <v>0</v>
      </c>
      <c r="BP126" s="527" t="str">
        <f>IF(ISBLANK(N126),"0",VLOOKUP($N126,Veg_Parameters!$A$4:$U$65,21,))</f>
        <v>0</v>
      </c>
      <c r="BQ126" s="529">
        <f t="shared" si="185"/>
        <v>0</v>
      </c>
      <c r="BR126" s="529">
        <f t="shared" si="186"/>
        <v>0</v>
      </c>
      <c r="BS126" s="529">
        <f t="shared" si="165"/>
        <v>0</v>
      </c>
      <c r="BT126" s="529">
        <f t="shared" si="187"/>
        <v>0</v>
      </c>
      <c r="BU126" s="529">
        <f t="shared" si="188"/>
        <v>0</v>
      </c>
      <c r="BV126" s="529">
        <f t="shared" si="189"/>
        <v>0</v>
      </c>
      <c r="BW126" s="532" t="str">
        <f t="shared" si="166"/>
        <v/>
      </c>
      <c r="BX126" s="532" t="str">
        <f t="shared" si="167"/>
        <v/>
      </c>
      <c r="BY126" s="532" t="str">
        <f t="shared" si="168"/>
        <v/>
      </c>
      <c r="BZ126" s="532" t="str">
        <f t="shared" si="169"/>
        <v/>
      </c>
      <c r="CA126" s="532">
        <f t="shared" si="170"/>
        <v>0</v>
      </c>
      <c r="CB126" s="533"/>
      <c r="CC126" s="624">
        <f t="shared" si="171"/>
        <v>0</v>
      </c>
      <c r="CD126" s="534">
        <f t="shared" si="172"/>
        <v>0</v>
      </c>
      <c r="CE126" s="534">
        <f t="shared" si="173"/>
        <v>0</v>
      </c>
      <c r="CF126" s="534">
        <f t="shared" si="174"/>
        <v>0</v>
      </c>
      <c r="CG126" s="534"/>
      <c r="CH126" s="534"/>
      <c r="CI126" s="534">
        <f t="shared" si="190"/>
        <v>0</v>
      </c>
      <c r="CL126" s="534">
        <f>IF(ISNA(VLOOKUP(I126,Veg_Parameters!$A$3:$N$65,13,FALSE)),0,(VLOOKUP(I126,Veg_Parameters!$A$3:$N$65,13,FALSE)))</f>
        <v>0</v>
      </c>
      <c r="CM126" s="534">
        <f t="shared" si="191"/>
        <v>0</v>
      </c>
      <c r="CN126" s="534">
        <f>IF(ISNA(VLOOKUP(N126,Veg_Parameters!$A$3:$N$65,13,FALSE)),0,(VLOOKUP(N126,Veg_Parameters!$A$3:$N$65,13,FALSE)))</f>
        <v>0</v>
      </c>
      <c r="CO126" s="523">
        <f t="shared" si="192"/>
        <v>0</v>
      </c>
    </row>
    <row r="127" spans="1:93" ht="13.5" thickBot="1" x14ac:dyDescent="0.25">
      <c r="A127" s="227"/>
      <c r="B127" s="171" t="str">
        <f t="shared" si="193"/>
        <v/>
      </c>
      <c r="C127" s="230"/>
      <c r="D127" s="169"/>
      <c r="E127" s="165"/>
      <c r="F127" s="165"/>
      <c r="G127" s="165"/>
      <c r="H127" s="165"/>
      <c r="I127" s="168"/>
      <c r="J127" s="167"/>
      <c r="K127" s="168"/>
      <c r="L127" s="167"/>
      <c r="M127" s="167"/>
      <c r="N127" s="168"/>
      <c r="O127" s="168"/>
      <c r="P127" s="167"/>
      <c r="Q127" s="167"/>
      <c r="R127" s="167"/>
      <c r="S127" s="222" t="str">
        <f>IF(ISBLANK(A127),"",IF(ISNA(VLOOKUP(I127,Veg_Parameters!$A$3:$N$65,3,FALSE)),0,(VLOOKUP(I127,Veg_Parameters!$A$3:$N$65,3,FALSE))))</f>
        <v/>
      </c>
      <c r="T127" s="222" t="str">
        <f>IF(ISBLANK(N127),"",IF(ISNA(VLOOKUP(N127,Veg_Parameters!$A$3:$N$65,3,FALSE)),0,(VLOOKUP(N127,Veg_Parameters!$A$3:$N$65,3,FALSE))))</f>
        <v/>
      </c>
      <c r="U127" s="523">
        <f t="shared" si="175"/>
        <v>0</v>
      </c>
      <c r="V127" s="523">
        <f t="shared" si="151"/>
        <v>0</v>
      </c>
      <c r="W127" s="524">
        <f>IF(ISBLANK(A127),0,IF(ISNA(VLOOKUP($I127,Veg_Parameters!$A$3:$N$65,10,FALSE)),0,(VLOOKUP($I127,Veg_Parameters!$A$3:$N$65,10,FALSE))))</f>
        <v>0</v>
      </c>
      <c r="X127" s="524">
        <f>IF(ISBLANK(A127),0,IF(ISNA(VLOOKUP($I127,Veg_Parameters!$A$3:$N$65,11,FALSE)),0,(VLOOKUP($I127,Veg_Parameters!$A$3:$N$65,11,FALSE))))</f>
        <v>0</v>
      </c>
      <c r="Y127" s="524">
        <f>IF(ISBLANK(A127),0,IF(ISNA(VLOOKUP($I127,Veg_Parameters!$A$3:$N$65,12,FALSE)),0,(VLOOKUP($I127,Veg_Parameters!$A$3:$N$65,12,FALSE))))</f>
        <v>0</v>
      </c>
      <c r="Z127" s="525">
        <f t="shared" si="152"/>
        <v>0</v>
      </c>
      <c r="AA127" s="525">
        <f t="shared" si="153"/>
        <v>0</v>
      </c>
      <c r="AB127" s="525">
        <f t="shared" si="154"/>
        <v>0</v>
      </c>
      <c r="AC127" s="524">
        <f>IF(ISBLANK(N127),0,IF(ISNA(VLOOKUP($N127,Veg_Parameters!$A$3:$N$65,10,FALSE)),0,(VLOOKUP($N127,Veg_Parameters!$A$3:$N$65,10,FALSE))))</f>
        <v>0</v>
      </c>
      <c r="AD127" s="524">
        <f>IF(ISBLANK(N127),0,IF(ISNA(VLOOKUP($N127,Veg_Parameters!$A$3:$N$65,11,FALSE)),0,(VLOOKUP($N127,Veg_Parameters!$A$3:$N$65,11,FALSE))))</f>
        <v>0</v>
      </c>
      <c r="AE127" s="524">
        <f>IF(ISBLANK(N127), 0, IF(ISNA(VLOOKUP($N127,Veg_Parameters!$A$3:$N$65,12,FALSE)),0,(VLOOKUP($N127,Veg_Parameters!$A$3:$N$65,12,FALSE))))</f>
        <v>0</v>
      </c>
      <c r="AF127" s="523">
        <f t="shared" si="155"/>
        <v>0</v>
      </c>
      <c r="AG127" s="523">
        <f t="shared" si="156"/>
        <v>0</v>
      </c>
      <c r="AH127" s="523">
        <f t="shared" si="157"/>
        <v>0</v>
      </c>
      <c r="AI127" s="526"/>
      <c r="AJ127" s="527">
        <f>AB127*(IF(ISNA(VLOOKUP($I127,Veg_Parameters!$A$3:$N$65,5,FALSE)),0,(VLOOKUP($I127,Veg_Parameters!$A$3:$N$65,5,FALSE))))</f>
        <v>0</v>
      </c>
      <c r="AK127" s="527">
        <f>IF(ISNA(VLOOKUP($I127,Veg_Parameters!$A$3:$N$65,4,FALSE)),0,(VLOOKUP($I127,Veg_Parameters!$A$3:$N$65,4,FALSE)))</f>
        <v>0</v>
      </c>
      <c r="AL127" s="527">
        <f>AB127*(IF(ISNA(VLOOKUP($I127,Veg_Parameters!$A$3:$N$65,7,FALSE)),0, (VLOOKUP($I127,Veg_Parameters!$A$3:$N$65,7,FALSE))))</f>
        <v>0</v>
      </c>
      <c r="AM127" s="528">
        <f>IF(ISNA(VLOOKUP($I127,Veg_Parameters!$A$3:$N$65,6,FALSE)), 0, (VLOOKUP($I127,Veg_Parameters!$A$3:$N$65,6,FALSE)))</f>
        <v>0</v>
      </c>
      <c r="AN127" s="529">
        <f t="shared" si="158"/>
        <v>20</v>
      </c>
      <c r="AO127" s="529">
        <f t="shared" si="159"/>
        <v>0</v>
      </c>
      <c r="AP127" s="529">
        <f t="shared" si="160"/>
        <v>0</v>
      </c>
      <c r="AQ127" s="530">
        <f t="shared" si="176"/>
        <v>0</v>
      </c>
      <c r="AR127" s="527" t="s">
        <v>3</v>
      </c>
      <c r="AS127" s="527">
        <f>IF(ISNA(VLOOKUP($I127,Veg_Parameters!$A$3:$N$65,8,FALSE)), 0, (VLOOKUP($I127,Veg_Parameters!$A$3:$N$65,8,FALSE)))</f>
        <v>0</v>
      </c>
      <c r="AT127" s="527">
        <f>AB127*(IF(ISNA(VLOOKUP($I127,Veg_Parameters!$A$3:$N$65,9,FALSE)), 0, (VLOOKUP($I127,Veg_Parameters!$A$3:$N$65,9,FALSE))))</f>
        <v>0</v>
      </c>
      <c r="AU127" s="527">
        <f>IF(ISBLANK(A127),0,VLOOKUP($I127,Veg_Parameters!$A$4:$U$65,21,))</f>
        <v>0</v>
      </c>
      <c r="AV127" s="527">
        <f t="shared" si="177"/>
        <v>0</v>
      </c>
      <c r="AW127" s="529">
        <f t="shared" si="178"/>
        <v>0</v>
      </c>
      <c r="AX127" s="529">
        <f t="shared" si="179"/>
        <v>0</v>
      </c>
      <c r="AY127" s="529">
        <f t="shared" si="161"/>
        <v>0</v>
      </c>
      <c r="AZ127" s="529">
        <f t="shared" si="180"/>
        <v>0</v>
      </c>
      <c r="BA127" s="529">
        <f t="shared" si="181"/>
        <v>0</v>
      </c>
      <c r="BB127" s="529">
        <f t="shared" si="182"/>
        <v>0</v>
      </c>
      <c r="BC127" s="529">
        <f t="shared" si="162"/>
        <v>0</v>
      </c>
      <c r="BD127" s="531"/>
      <c r="BE127" s="527">
        <f>AH127*(IF(ISNA(VLOOKUP($N127,Veg_Parameters!$A$3:$N$65,5,FALSE)),0,(VLOOKUP($N127,Veg_Parameters!$A$3:$N$65,5,FALSE))))</f>
        <v>0</v>
      </c>
      <c r="BF127" s="527">
        <f>IF(ISNA(VLOOKUP($N127,Veg_Parameters!$A$3:$N$65,4,FALSE)),0,(VLOOKUP($N127,Veg_Parameters!$A$3:$N$65,4,FALSE)))</f>
        <v>0</v>
      </c>
      <c r="BG127" s="527">
        <f>AH127*(IF(ISNA(VLOOKUP($N127,Veg_Parameters!$A$3:$N$65,7,FALSE)),0, (VLOOKUP($N127,Veg_Parameters!$A$3:$N$65,7,FALSE))))</f>
        <v>0</v>
      </c>
      <c r="BH127" s="527">
        <f>IF(ISNA(VLOOKUP($N127,Veg_Parameters!$A$3:$N$65,6,FALSE)), 0, (VLOOKUP($N127,Veg_Parameters!$A$3:$N$65,6,FALSE)))</f>
        <v>0</v>
      </c>
      <c r="BI127" s="529">
        <f t="shared" si="163"/>
        <v>20</v>
      </c>
      <c r="BJ127" s="529">
        <f t="shared" si="183"/>
        <v>0</v>
      </c>
      <c r="BK127" s="529">
        <f t="shared" si="164"/>
        <v>0</v>
      </c>
      <c r="BL127" s="530">
        <f t="shared" si="184"/>
        <v>0</v>
      </c>
      <c r="BM127" s="527" t="s">
        <v>3</v>
      </c>
      <c r="BN127" s="527">
        <f>IF(ISNA(VLOOKUP(N127,Veg_Parameters!$A$3:$N$65,8,FALSE)), 0, (VLOOKUP($N127,Veg_Parameters!$A$3:$N$65,8,FALSE)))</f>
        <v>0</v>
      </c>
      <c r="BO127" s="527">
        <f>AH127*(IF(ISNA(VLOOKUP($N127,Veg_Parameters!$A$3:$N$65,9,FALSE)), 0, (VLOOKUP($N127,Veg_Parameters!$A$3:$N$65,9,FALSE))))</f>
        <v>0</v>
      </c>
      <c r="BP127" s="527" t="str">
        <f>IF(ISBLANK(N127),"0",VLOOKUP($N127,Veg_Parameters!$A$4:$U$65,21,))</f>
        <v>0</v>
      </c>
      <c r="BQ127" s="529">
        <f t="shared" si="185"/>
        <v>0</v>
      </c>
      <c r="BR127" s="529">
        <f t="shared" si="186"/>
        <v>0</v>
      </c>
      <c r="BS127" s="529">
        <f t="shared" si="165"/>
        <v>0</v>
      </c>
      <c r="BT127" s="529">
        <f t="shared" si="187"/>
        <v>0</v>
      </c>
      <c r="BU127" s="529">
        <f t="shared" si="188"/>
        <v>0</v>
      </c>
      <c r="BV127" s="529">
        <f t="shared" si="189"/>
        <v>0</v>
      </c>
      <c r="BW127" s="532" t="str">
        <f t="shared" si="166"/>
        <v/>
      </c>
      <c r="BX127" s="532" t="str">
        <f t="shared" si="167"/>
        <v/>
      </c>
      <c r="BY127" s="532" t="str">
        <f t="shared" si="168"/>
        <v/>
      </c>
      <c r="BZ127" s="532" t="str">
        <f t="shared" si="169"/>
        <v/>
      </c>
      <c r="CA127" s="532">
        <f t="shared" si="170"/>
        <v>0</v>
      </c>
      <c r="CB127" s="533"/>
      <c r="CC127" s="624">
        <f t="shared" si="171"/>
        <v>0</v>
      </c>
      <c r="CD127" s="534">
        <f t="shared" si="172"/>
        <v>0</v>
      </c>
      <c r="CE127" s="534">
        <f t="shared" si="173"/>
        <v>0</v>
      </c>
      <c r="CF127" s="534">
        <f t="shared" si="174"/>
        <v>0</v>
      </c>
      <c r="CG127" s="534"/>
      <c r="CH127" s="534"/>
      <c r="CI127" s="534">
        <f t="shared" si="190"/>
        <v>0</v>
      </c>
      <c r="CL127" s="534">
        <f>IF(ISNA(VLOOKUP(I127,Veg_Parameters!$A$3:$N$65,13,FALSE)),0,(VLOOKUP(I127,Veg_Parameters!$A$3:$N$65,13,FALSE)))</f>
        <v>0</v>
      </c>
      <c r="CM127" s="534">
        <f t="shared" si="191"/>
        <v>0</v>
      </c>
      <c r="CN127" s="534">
        <f>IF(ISNA(VLOOKUP(N127,Veg_Parameters!$A$3:$N$65,13,FALSE)),0,(VLOOKUP(N127,Veg_Parameters!$A$3:$N$65,13,FALSE)))</f>
        <v>0</v>
      </c>
      <c r="CO127" s="523">
        <f t="shared" si="192"/>
        <v>0</v>
      </c>
    </row>
    <row r="128" spans="1:93" ht="13.5" thickBot="1" x14ac:dyDescent="0.25">
      <c r="A128" s="231" t="s">
        <v>70</v>
      </c>
      <c r="B128" s="186" t="str">
        <f>IF(ISBLANK(B103),"",B103)</f>
        <v/>
      </c>
      <c r="C128" s="231"/>
      <c r="D128" s="188"/>
      <c r="E128" s="188"/>
      <c r="F128" s="188"/>
      <c r="G128" s="189" t="str">
        <f>IFERROR((SUMPRODUCT($U103:$U127,G103:G127))/(100*$U128),"")</f>
        <v/>
      </c>
      <c r="H128" s="189" t="str">
        <f>IFERROR((SUMPRODUCT($U103:$U127,H103:H127))/(100*$U128),"")</f>
        <v/>
      </c>
      <c r="I128" s="188"/>
      <c r="J128" s="188"/>
      <c r="K128" s="188"/>
      <c r="L128" s="188"/>
      <c r="M128" s="188" t="s">
        <v>27</v>
      </c>
      <c r="N128" s="188"/>
      <c r="O128" s="188"/>
      <c r="P128" s="188"/>
      <c r="Q128" s="188"/>
      <c r="R128" s="188" t="s">
        <v>27</v>
      </c>
      <c r="S128" s="223"/>
      <c r="T128" s="223"/>
      <c r="U128" s="562">
        <f>+SUM(U103:U127)</f>
        <v>0</v>
      </c>
      <c r="V128" s="535" t="str">
        <f>IFERROR(SUMPRODUCT(U103:U127, V103:V127)/U128,"")</f>
        <v/>
      </c>
      <c r="W128" s="536"/>
      <c r="X128" s="536"/>
      <c r="Y128" s="536"/>
      <c r="Z128" s="536"/>
      <c r="AA128" s="536"/>
      <c r="AB128" s="536"/>
      <c r="AC128" s="536"/>
      <c r="AD128" s="536"/>
      <c r="AE128" s="536"/>
      <c r="AF128" s="537"/>
      <c r="AG128" s="537"/>
      <c r="AH128" s="537"/>
      <c r="AI128" s="104"/>
      <c r="AJ128" s="538"/>
      <c r="AK128" s="538"/>
      <c r="AL128" s="539"/>
      <c r="AM128" s="540"/>
      <c r="AN128" s="541"/>
      <c r="AO128" s="538"/>
      <c r="AP128" s="542">
        <f>MAX(AP103:AP127)</f>
        <v>0</v>
      </c>
      <c r="AQ128" s="542" t="s">
        <v>27</v>
      </c>
      <c r="AR128" s="538"/>
      <c r="AS128" s="538"/>
      <c r="AT128" s="538"/>
      <c r="AU128" s="538"/>
      <c r="AV128" s="543">
        <f>SUM(AV103:AV127)</f>
        <v>0</v>
      </c>
      <c r="AW128" s="538"/>
      <c r="AX128" s="538"/>
      <c r="AY128" s="544"/>
      <c r="AZ128" s="544"/>
      <c r="BA128" s="544"/>
      <c r="BB128" s="544"/>
      <c r="BC128" s="544"/>
      <c r="BD128" s="538"/>
      <c r="BE128" s="538"/>
      <c r="BF128" s="538"/>
      <c r="BG128" s="539"/>
      <c r="BH128" s="540"/>
      <c r="BI128" s="541"/>
      <c r="BJ128" s="538"/>
      <c r="BK128" s="542">
        <f>MAX(BK103:BK127)</f>
        <v>0</v>
      </c>
      <c r="BL128" s="538"/>
      <c r="BM128" s="538"/>
      <c r="BN128" s="538"/>
      <c r="BO128" s="538"/>
      <c r="BP128" s="538"/>
      <c r="BQ128" s="538"/>
      <c r="BR128" s="538"/>
      <c r="BS128" s="544"/>
      <c r="BT128" s="544"/>
      <c r="BU128" s="544"/>
      <c r="BV128" s="544"/>
      <c r="BW128" s="545">
        <f>SUM(IF(FREQUENCY(BW103:BW127,BW103:BW127)&gt;0,1))</f>
        <v>0</v>
      </c>
      <c r="BX128" s="545">
        <f>SUM(IF(FREQUENCY(BX103:BX127,BX103:BX127)&gt;0,1))</f>
        <v>0</v>
      </c>
      <c r="BY128" s="545">
        <f>SUM(IF(FREQUENCY(BY103:BY127,BY103:BY127)&gt;0,1))</f>
        <v>0</v>
      </c>
      <c r="BZ128" s="545">
        <f>SUM(IF(FREQUENCY(BZ103:BZ127,BZ103:BZ127)&gt;0,1))</f>
        <v>0</v>
      </c>
      <c r="CA128" s="546"/>
      <c r="CB128" s="547"/>
      <c r="CC128" s="625" t="str">
        <f>+IFERROR(((SUM(CC103:CC127))/$U128),"")</f>
        <v/>
      </c>
      <c r="CD128" s="548" t="str">
        <f>+IFERROR(((SUM(CD103:CD127))/$U128),"")</f>
        <v/>
      </c>
      <c r="CE128" s="548" t="str">
        <f>+IFERROR(((SUM(CE103:CE127))/$U128),"")</f>
        <v/>
      </c>
      <c r="CF128" s="549" t="str">
        <f>+IFERROR(((SUM(CF103:CF127))/$U128),"")</f>
        <v/>
      </c>
      <c r="CG128" s="550">
        <f>SUM(IF(FREQUENCY(BW103:BX127,BW103:BX127)&gt;0,1))</f>
        <v>0</v>
      </c>
      <c r="CH128" s="551">
        <f>SUM(IF(FREQUENCY(BY103:BZ127,BY103:BZ127)&gt;0,1))</f>
        <v>0</v>
      </c>
      <c r="CI128" s="552">
        <f>+SUM(CI103:CI127)</f>
        <v>0</v>
      </c>
    </row>
    <row r="129" spans="1:93" ht="31.5" customHeight="1" thickBot="1" x14ac:dyDescent="0.25">
      <c r="A129" s="219"/>
      <c r="B129" s="48"/>
      <c r="C129" s="219"/>
      <c r="D129" s="49"/>
      <c r="E129" s="49"/>
      <c r="F129" s="49"/>
      <c r="G129" s="49"/>
      <c r="H129" s="49"/>
      <c r="I129" s="49"/>
      <c r="J129" s="49"/>
      <c r="K129" s="49"/>
      <c r="L129" s="49"/>
      <c r="M129" s="49"/>
      <c r="N129" s="49"/>
      <c r="O129" s="49"/>
      <c r="P129" s="49"/>
      <c r="Q129" s="49"/>
      <c r="R129" s="49"/>
      <c r="S129" s="219"/>
      <c r="T129" s="219"/>
      <c r="U129" s="554"/>
      <c r="V129" s="554"/>
      <c r="W129" s="490"/>
      <c r="X129" s="490"/>
      <c r="Y129" s="490"/>
      <c r="Z129" s="490"/>
      <c r="AA129" s="490"/>
      <c r="AB129" s="490"/>
      <c r="AC129" s="490"/>
      <c r="AD129" s="490"/>
      <c r="AE129" s="490"/>
      <c r="AF129" s="491"/>
      <c r="AG129" s="491"/>
      <c r="AH129" s="491"/>
      <c r="AI129" s="104"/>
      <c r="AJ129" s="477"/>
      <c r="AK129" s="477"/>
      <c r="AL129" s="477"/>
      <c r="AM129" s="477"/>
      <c r="AN129" s="477"/>
      <c r="AO129" s="477"/>
      <c r="AP129" s="477"/>
      <c r="AQ129" s="477"/>
      <c r="AR129" s="477"/>
      <c r="AS129" s="477"/>
      <c r="AT129" s="477"/>
      <c r="AU129" s="477"/>
      <c r="AV129" s="477"/>
      <c r="AW129" s="477"/>
      <c r="AX129" s="477"/>
      <c r="AY129" s="563"/>
      <c r="AZ129" s="564"/>
      <c r="BA129" s="564"/>
      <c r="BB129" s="564"/>
      <c r="BC129" s="564"/>
      <c r="BD129" s="477"/>
      <c r="BE129" s="477"/>
      <c r="BF129" s="477"/>
      <c r="BG129" s="477"/>
      <c r="BH129" s="477"/>
      <c r="BI129" s="477"/>
      <c r="BJ129" s="477"/>
      <c r="BK129" s="477"/>
      <c r="BL129" s="477"/>
      <c r="BM129" s="477"/>
      <c r="BN129" s="477"/>
      <c r="BO129" s="477"/>
      <c r="BP129" s="477"/>
      <c r="BQ129" s="477"/>
      <c r="BR129" s="477"/>
      <c r="BS129" s="290"/>
      <c r="BT129" s="104"/>
      <c r="BU129" s="104"/>
      <c r="BV129" s="104"/>
      <c r="BW129" s="555"/>
      <c r="BX129" s="555"/>
      <c r="BY129" s="555"/>
      <c r="BZ129" s="555"/>
      <c r="CA129" s="473"/>
      <c r="CB129" s="492"/>
      <c r="CC129" s="1164" t="s">
        <v>393</v>
      </c>
      <c r="CD129" s="1165"/>
      <c r="CE129" s="1165"/>
      <c r="CF129" s="1166"/>
      <c r="CG129" s="1162" t="s">
        <v>560</v>
      </c>
      <c r="CH129" s="1163"/>
      <c r="CI129" s="556" t="s">
        <v>553</v>
      </c>
    </row>
    <row r="130" spans="1:93" s="121" customFormat="1" x14ac:dyDescent="0.2">
      <c r="A130" s="224" t="s">
        <v>406</v>
      </c>
      <c r="B130" s="119"/>
      <c r="C130" s="224"/>
      <c r="D130" s="120"/>
      <c r="E130" s="120"/>
      <c r="F130" s="120"/>
      <c r="G130" s="120"/>
      <c r="H130" s="120"/>
      <c r="I130" s="120"/>
      <c r="J130" s="120"/>
      <c r="K130" s="120"/>
      <c r="L130" s="113"/>
      <c r="M130" s="120"/>
      <c r="N130" s="120"/>
      <c r="O130" s="120"/>
      <c r="P130" s="113"/>
      <c r="Q130" s="120"/>
      <c r="R130" s="120"/>
      <c r="S130" s="224"/>
      <c r="T130" s="224"/>
      <c r="U130" s="557"/>
      <c r="V130" s="557"/>
      <c r="W130" s="558"/>
      <c r="X130" s="558"/>
      <c r="Y130" s="558"/>
      <c r="Z130" s="558"/>
      <c r="AA130" s="558"/>
      <c r="AB130" s="558"/>
      <c r="AC130" s="558"/>
      <c r="AD130" s="558"/>
      <c r="AE130" s="558"/>
      <c r="AF130" s="559"/>
      <c r="AG130" s="559"/>
      <c r="AH130" s="559"/>
      <c r="AI130" s="104"/>
      <c r="AJ130" s="559"/>
      <c r="AK130" s="559"/>
      <c r="AL130" s="559"/>
      <c r="AM130" s="559"/>
      <c r="AN130" s="559"/>
      <c r="AO130" s="559"/>
      <c r="AP130" s="559"/>
      <c r="AQ130" s="559"/>
      <c r="AR130" s="559"/>
      <c r="AS130" s="559"/>
      <c r="AT130" s="559"/>
      <c r="AU130" s="559"/>
      <c r="AV130" s="559"/>
      <c r="AW130" s="559"/>
      <c r="AX130" s="559"/>
      <c r="AY130" s="559"/>
      <c r="AZ130" s="559"/>
      <c r="BA130" s="559"/>
      <c r="BB130" s="559"/>
      <c r="BC130" s="559"/>
      <c r="BD130" s="559"/>
      <c r="BE130" s="559"/>
      <c r="BF130" s="559"/>
      <c r="BG130" s="559"/>
      <c r="BH130" s="559"/>
      <c r="BI130" s="559"/>
      <c r="BJ130" s="559"/>
      <c r="BK130" s="559"/>
      <c r="BL130" s="559"/>
      <c r="BM130" s="559"/>
      <c r="BN130" s="559"/>
      <c r="BO130" s="559"/>
      <c r="BP130" s="559"/>
      <c r="BQ130" s="559"/>
      <c r="BR130" s="559"/>
      <c r="BS130" s="559"/>
      <c r="BT130" s="559"/>
      <c r="BU130" s="559"/>
      <c r="BV130" s="559"/>
      <c r="BW130" s="475"/>
      <c r="BX130" s="475"/>
      <c r="BY130" s="475"/>
      <c r="BZ130" s="475"/>
      <c r="CA130" s="475"/>
      <c r="CB130" s="475"/>
      <c r="CC130" s="626"/>
      <c r="CD130" s="560"/>
      <c r="CE130" s="560"/>
      <c r="CF130" s="560"/>
      <c r="CG130" s="560"/>
      <c r="CH130" s="560"/>
      <c r="CI130" s="560"/>
      <c r="CJ130" s="560"/>
      <c r="CK130" s="560"/>
      <c r="CL130" s="560"/>
      <c r="CM130" s="560"/>
      <c r="CN130" s="560"/>
      <c r="CO130" s="561"/>
    </row>
    <row r="131" spans="1:93" s="183" customFormat="1" ht="87" customHeight="1" x14ac:dyDescent="0.2">
      <c r="A131" s="228" t="s">
        <v>73</v>
      </c>
      <c r="B131" s="184" t="s">
        <v>421</v>
      </c>
      <c r="C131" s="293" t="s">
        <v>114</v>
      </c>
      <c r="D131" s="173" t="s">
        <v>53</v>
      </c>
      <c r="E131" s="173" t="s">
        <v>499</v>
      </c>
      <c r="F131" s="173" t="s">
        <v>394</v>
      </c>
      <c r="G131" s="173" t="s">
        <v>242</v>
      </c>
      <c r="H131" s="173" t="s">
        <v>563</v>
      </c>
      <c r="I131" s="173" t="s">
        <v>236</v>
      </c>
      <c r="J131" s="173" t="s">
        <v>240</v>
      </c>
      <c r="K131" s="173" t="s">
        <v>238</v>
      </c>
      <c r="L131" s="173" t="s">
        <v>554</v>
      </c>
      <c r="M131" s="173" t="s">
        <v>241</v>
      </c>
      <c r="N131" s="173" t="s">
        <v>237</v>
      </c>
      <c r="O131" s="173" t="s">
        <v>243</v>
      </c>
      <c r="P131" s="173" t="s">
        <v>239</v>
      </c>
      <c r="Q131" s="173" t="s">
        <v>555</v>
      </c>
      <c r="R131" s="173" t="s">
        <v>244</v>
      </c>
      <c r="S131" s="220" t="s">
        <v>245</v>
      </c>
      <c r="T131" s="220" t="s">
        <v>256</v>
      </c>
      <c r="U131" s="500" t="s">
        <v>53</v>
      </c>
      <c r="V131" s="500" t="s">
        <v>396</v>
      </c>
      <c r="W131" s="501" t="s">
        <v>508</v>
      </c>
      <c r="X131" s="501" t="s">
        <v>509</v>
      </c>
      <c r="Y131" s="501" t="s">
        <v>510</v>
      </c>
      <c r="Z131" s="501" t="s">
        <v>512</v>
      </c>
      <c r="AA131" s="501" t="s">
        <v>513</v>
      </c>
      <c r="AB131" s="501" t="s">
        <v>514</v>
      </c>
      <c r="AC131" s="501" t="s">
        <v>506</v>
      </c>
      <c r="AD131" s="501" t="s">
        <v>507</v>
      </c>
      <c r="AE131" s="501" t="s">
        <v>511</v>
      </c>
      <c r="AF131" s="501" t="s">
        <v>503</v>
      </c>
      <c r="AG131" s="501" t="s">
        <v>504</v>
      </c>
      <c r="AH131" s="501" t="s">
        <v>505</v>
      </c>
      <c r="AI131" s="502"/>
      <c r="AJ131" s="502" t="s">
        <v>246</v>
      </c>
      <c r="AK131" s="502" t="s">
        <v>247</v>
      </c>
      <c r="AL131" s="503" t="s">
        <v>248</v>
      </c>
      <c r="AM131" s="503" t="s">
        <v>249</v>
      </c>
      <c r="AN131" s="504" t="s">
        <v>250</v>
      </c>
      <c r="AO131" s="502" t="s">
        <v>270</v>
      </c>
      <c r="AP131" s="502" t="s">
        <v>271</v>
      </c>
      <c r="AQ131" s="503" t="s">
        <v>251</v>
      </c>
      <c r="AR131" s="503" t="s">
        <v>14</v>
      </c>
      <c r="AS131" s="503" t="s">
        <v>252</v>
      </c>
      <c r="AT131" s="503" t="s">
        <v>253</v>
      </c>
      <c r="AU131" s="503" t="s">
        <v>579</v>
      </c>
      <c r="AV131" s="503" t="s">
        <v>578</v>
      </c>
      <c r="AW131" s="503" t="s">
        <v>254</v>
      </c>
      <c r="AX131" s="503" t="s">
        <v>255</v>
      </c>
      <c r="AY131" s="503" t="s">
        <v>391</v>
      </c>
      <c r="AZ131" s="503" t="s">
        <v>267</v>
      </c>
      <c r="BA131" s="503" t="s">
        <v>272</v>
      </c>
      <c r="BB131" s="503" t="s">
        <v>273</v>
      </c>
      <c r="BC131" s="502" t="s">
        <v>539</v>
      </c>
      <c r="BD131" s="503"/>
      <c r="BE131" s="502" t="s">
        <v>257</v>
      </c>
      <c r="BF131" s="502" t="s">
        <v>258</v>
      </c>
      <c r="BG131" s="503" t="s">
        <v>259</v>
      </c>
      <c r="BH131" s="503" t="s">
        <v>260</v>
      </c>
      <c r="BI131" s="504" t="s">
        <v>261</v>
      </c>
      <c r="BJ131" s="502" t="s">
        <v>275</v>
      </c>
      <c r="BK131" s="502" t="s">
        <v>274</v>
      </c>
      <c r="BL131" s="503" t="s">
        <v>262</v>
      </c>
      <c r="BM131" s="503" t="s">
        <v>14</v>
      </c>
      <c r="BN131" s="503" t="s">
        <v>263</v>
      </c>
      <c r="BO131" s="503" t="s">
        <v>264</v>
      </c>
      <c r="BP131" s="503" t="s">
        <v>542</v>
      </c>
      <c r="BQ131" s="503" t="s">
        <v>265</v>
      </c>
      <c r="BR131" s="503" t="s">
        <v>266</v>
      </c>
      <c r="BS131" s="503" t="s">
        <v>392</v>
      </c>
      <c r="BT131" s="503" t="s">
        <v>276</v>
      </c>
      <c r="BU131" s="503" t="s">
        <v>277</v>
      </c>
      <c r="BV131" s="503" t="s">
        <v>278</v>
      </c>
      <c r="BW131" s="503" t="s">
        <v>556</v>
      </c>
      <c r="BX131" s="503" t="s">
        <v>559</v>
      </c>
      <c r="BY131" s="503" t="s">
        <v>557</v>
      </c>
      <c r="BZ131" s="503" t="s">
        <v>558</v>
      </c>
      <c r="CA131" s="505" t="s">
        <v>543</v>
      </c>
      <c r="CB131" s="506"/>
      <c r="CC131" s="622" t="s">
        <v>279</v>
      </c>
      <c r="CD131" s="506" t="s">
        <v>280</v>
      </c>
      <c r="CE131" s="506" t="s">
        <v>281</v>
      </c>
      <c r="CF131" s="506" t="s">
        <v>282</v>
      </c>
      <c r="CG131" s="506" t="s">
        <v>283</v>
      </c>
      <c r="CH131" s="506" t="s">
        <v>284</v>
      </c>
      <c r="CI131" s="506" t="s">
        <v>545</v>
      </c>
      <c r="CJ131" s="507"/>
      <c r="CK131" s="507"/>
      <c r="CL131" s="506" t="s">
        <v>422</v>
      </c>
      <c r="CM131" s="506" t="s">
        <v>516</v>
      </c>
      <c r="CN131" s="506" t="s">
        <v>423</v>
      </c>
      <c r="CO131" s="508" t="s">
        <v>517</v>
      </c>
    </row>
    <row r="132" spans="1:93" s="16" customFormat="1" ht="27" customHeight="1" x14ac:dyDescent="0.2">
      <c r="A132" s="229" t="s">
        <v>5</v>
      </c>
      <c r="B132" s="185" t="s">
        <v>28</v>
      </c>
      <c r="C132" s="294" t="s">
        <v>5</v>
      </c>
      <c r="D132" s="174" t="s">
        <v>119</v>
      </c>
      <c r="E132" s="174" t="s">
        <v>498</v>
      </c>
      <c r="F132" s="174" t="s">
        <v>268</v>
      </c>
      <c r="G132" s="174" t="s">
        <v>60</v>
      </c>
      <c r="H132" s="174"/>
      <c r="I132" s="174" t="s">
        <v>28</v>
      </c>
      <c r="J132" s="174" t="s">
        <v>15</v>
      </c>
      <c r="K132" s="174" t="s">
        <v>269</v>
      </c>
      <c r="L132" s="174" t="s">
        <v>61</v>
      </c>
      <c r="M132" s="174" t="s">
        <v>5</v>
      </c>
      <c r="N132" s="174" t="s">
        <v>28</v>
      </c>
      <c r="O132" s="174" t="s">
        <v>15</v>
      </c>
      <c r="P132" s="174" t="s">
        <v>269</v>
      </c>
      <c r="Q132" s="174" t="s">
        <v>61</v>
      </c>
      <c r="R132" s="174" t="s">
        <v>5</v>
      </c>
      <c r="S132" s="221" t="s">
        <v>16</v>
      </c>
      <c r="T132" s="221" t="s">
        <v>16</v>
      </c>
      <c r="U132" s="509" t="s">
        <v>59</v>
      </c>
      <c r="V132" s="509" t="s">
        <v>5</v>
      </c>
      <c r="W132" s="510" t="s">
        <v>60</v>
      </c>
      <c r="X132" s="510" t="s">
        <v>60</v>
      </c>
      <c r="Y132" s="510" t="s">
        <v>60</v>
      </c>
      <c r="Z132" s="511" t="s">
        <v>60</v>
      </c>
      <c r="AA132" s="511" t="s">
        <v>60</v>
      </c>
      <c r="AB132" s="511" t="s">
        <v>60</v>
      </c>
      <c r="AC132" s="510" t="s">
        <v>60</v>
      </c>
      <c r="AD132" s="510" t="s">
        <v>60</v>
      </c>
      <c r="AE132" s="510"/>
      <c r="AF132" s="511" t="s">
        <v>60</v>
      </c>
      <c r="AG132" s="511" t="s">
        <v>60</v>
      </c>
      <c r="AH132" s="511" t="s">
        <v>60</v>
      </c>
      <c r="AI132" s="512"/>
      <c r="AJ132" s="512" t="s">
        <v>17</v>
      </c>
      <c r="AK132" s="512" t="s">
        <v>18</v>
      </c>
      <c r="AL132" s="513" t="s">
        <v>51</v>
      </c>
      <c r="AM132" s="514" t="s">
        <v>60</v>
      </c>
      <c r="AN132" s="515" t="s">
        <v>52</v>
      </c>
      <c r="AO132" s="516" t="s">
        <v>18</v>
      </c>
      <c r="AP132" s="516" t="s">
        <v>18</v>
      </c>
      <c r="AQ132" s="517" t="s">
        <v>60</v>
      </c>
      <c r="AR132" s="517" t="s">
        <v>18</v>
      </c>
      <c r="AS132" s="517" t="s">
        <v>18</v>
      </c>
      <c r="AT132" s="517" t="s">
        <v>17</v>
      </c>
      <c r="AU132" s="517" t="s">
        <v>538</v>
      </c>
      <c r="AV132" s="517" t="s">
        <v>59</v>
      </c>
      <c r="AW132" s="517" t="s">
        <v>18</v>
      </c>
      <c r="AX132" s="517" t="s">
        <v>59</v>
      </c>
      <c r="AY132" s="517" t="s">
        <v>59</v>
      </c>
      <c r="AZ132" s="517" t="s">
        <v>59</v>
      </c>
      <c r="BA132" s="517" t="s">
        <v>59</v>
      </c>
      <c r="BB132" s="517" t="s">
        <v>59</v>
      </c>
      <c r="BC132" s="512" t="s">
        <v>59</v>
      </c>
      <c r="BD132" s="518"/>
      <c r="BE132" s="512" t="s">
        <v>17</v>
      </c>
      <c r="BF132" s="512" t="s">
        <v>18</v>
      </c>
      <c r="BG132" s="513" t="s">
        <v>51</v>
      </c>
      <c r="BH132" s="514" t="s">
        <v>60</v>
      </c>
      <c r="BI132" s="515" t="s">
        <v>52</v>
      </c>
      <c r="BJ132" s="516" t="s">
        <v>18</v>
      </c>
      <c r="BK132" s="516" t="s">
        <v>18</v>
      </c>
      <c r="BL132" s="517" t="s">
        <v>60</v>
      </c>
      <c r="BM132" s="517" t="s">
        <v>18</v>
      </c>
      <c r="BN132" s="517" t="s">
        <v>18</v>
      </c>
      <c r="BO132" s="517" t="s">
        <v>17</v>
      </c>
      <c r="BP132" s="517" t="s">
        <v>538</v>
      </c>
      <c r="BQ132" s="517" t="s">
        <v>18</v>
      </c>
      <c r="BR132" s="517" t="s">
        <v>59</v>
      </c>
      <c r="BS132" s="517" t="s">
        <v>59</v>
      </c>
      <c r="BT132" s="517" t="s">
        <v>59</v>
      </c>
      <c r="BU132" s="517" t="s">
        <v>59</v>
      </c>
      <c r="BV132" s="517" t="s">
        <v>59</v>
      </c>
      <c r="BW132" s="519" t="s">
        <v>386</v>
      </c>
      <c r="BX132" s="519" t="s">
        <v>386</v>
      </c>
      <c r="BY132" s="519" t="s">
        <v>387</v>
      </c>
      <c r="BZ132" s="519" t="s">
        <v>387</v>
      </c>
      <c r="CA132" s="519" t="s">
        <v>59</v>
      </c>
      <c r="CB132" s="520"/>
      <c r="CC132" s="623" t="s">
        <v>59</v>
      </c>
      <c r="CD132" s="520" t="s">
        <v>59</v>
      </c>
      <c r="CE132" s="520" t="s">
        <v>59</v>
      </c>
      <c r="CF132" s="520" t="s">
        <v>59</v>
      </c>
      <c r="CG132" s="520" t="s">
        <v>386</v>
      </c>
      <c r="CH132" s="520" t="s">
        <v>387</v>
      </c>
      <c r="CI132" s="520" t="s">
        <v>59</v>
      </c>
      <c r="CJ132" s="521"/>
      <c r="CK132" s="521"/>
      <c r="CL132" s="520" t="s">
        <v>28</v>
      </c>
      <c r="CM132" s="520" t="s">
        <v>59</v>
      </c>
      <c r="CN132" s="520" t="s">
        <v>28</v>
      </c>
      <c r="CO132" s="522" t="s">
        <v>59</v>
      </c>
    </row>
    <row r="133" spans="1:93" x14ac:dyDescent="0.2">
      <c r="A133" s="230"/>
      <c r="B133" s="164"/>
      <c r="C133" s="230"/>
      <c r="D133" s="169"/>
      <c r="E133" s="165"/>
      <c r="F133" s="165"/>
      <c r="G133" s="165"/>
      <c r="H133" s="165"/>
      <c r="I133" s="166"/>
      <c r="J133" s="167"/>
      <c r="K133" s="166"/>
      <c r="L133" s="166"/>
      <c r="M133" s="167"/>
      <c r="N133" s="166"/>
      <c r="O133" s="166"/>
      <c r="P133" s="166"/>
      <c r="Q133" s="167"/>
      <c r="R133" s="167"/>
      <c r="S133" s="222" t="str">
        <f>IF(ISBLANK(A133),"",IF(ISNA(VLOOKUP(I133,Veg_Parameters!$A$3:$N$65,3,FALSE)),0,(VLOOKUP(I133,Veg_Parameters!$A$3:$N$65,3,FALSE))))</f>
        <v/>
      </c>
      <c r="T133" s="222" t="str">
        <f>IF(ISBLANK(N133),"",IF(ISNA(VLOOKUP(N133,Veg_Parameters!$A$3:$N$65,3,FALSE)),0,(VLOOKUP(N133,Veg_Parameters!$A$3:$N$65,3,FALSE))))</f>
        <v/>
      </c>
      <c r="U133" s="523">
        <f>IF(ISBLANK(A133),0,0.092903*D133)</f>
        <v>0</v>
      </c>
      <c r="V133" s="523">
        <f t="shared" ref="V133:V157" si="194">IF(ISBLANK(A133),0, IF(F133="H", 5, IF(F133="M", 3, IF(F133="L", 1.5, 0))))</f>
        <v>0</v>
      </c>
      <c r="W133" s="524">
        <f>IF(ISBLANK(A133),0,IF(ISNA(VLOOKUP($I133,Veg_Parameters!$A$3:$N$65,10,FALSE)),0,(VLOOKUP($I133,Veg_Parameters!$A$3:$N$65,10,FALSE))))</f>
        <v>0</v>
      </c>
      <c r="X133" s="524">
        <f>IF(ISBLANK(A133),0,IF(ISNA(VLOOKUP($I133,Veg_Parameters!$A$3:$N$65,11,FALSE)),0,(VLOOKUP($I133,Veg_Parameters!$A$3:$N$65,11,FALSE))))</f>
        <v>0</v>
      </c>
      <c r="Y133" s="524">
        <f>IF(ISBLANK(A133),0,IF(ISNA(VLOOKUP($I133,Veg_Parameters!$A$3:$N$65,12,FALSE)),0,(VLOOKUP($I133,Veg_Parameters!$A$3:$N$65,12,FALSE))))</f>
        <v>0</v>
      </c>
      <c r="Z133" s="525">
        <f t="shared" ref="Z133:Z157" si="195">IF($E133="C",$W133,IF($E133="F",$X133,IF($E133="M",1,0)))</f>
        <v>0</v>
      </c>
      <c r="AA133" s="525">
        <f t="shared" ref="AA133:AA157" si="196">IF(ISBLANK(E133), 0, IF($O$9="L", $Y133, IF($O$9 = "H", 1, IF($O$9="M", 0.8, " "))))</f>
        <v>0</v>
      </c>
      <c r="AB133" s="525">
        <f t="shared" ref="AB133:AB157" si="197">IF(I133&gt;0, Z133*AA133, 0)</f>
        <v>0</v>
      </c>
      <c r="AC133" s="524">
        <f>IF(ISBLANK(N133),0,IF(ISNA(VLOOKUP($N133,Veg_Parameters!$A$3:$N$65,10,FALSE)),0,(VLOOKUP($N133,Veg_Parameters!$A$3:$N$65,10,FALSE))))</f>
        <v>0</v>
      </c>
      <c r="AD133" s="524">
        <f>IF(ISBLANK(N133),0,IF(ISNA(VLOOKUP($N133,Veg_Parameters!$A$3:$N$65,11,FALSE)),0,(VLOOKUP($N133,Veg_Parameters!$A$3:$N$65,11,FALSE))))</f>
        <v>0</v>
      </c>
      <c r="AE133" s="524">
        <f>IF(ISBLANK(N133), 0, IF(ISNA(VLOOKUP($N133,Veg_Parameters!$A$3:$N$65,12,FALSE)),0,(VLOOKUP($N133,Veg_Parameters!$A$3:$N$65,12,FALSE))))</f>
        <v>0</v>
      </c>
      <c r="AF133" s="523">
        <f t="shared" ref="AF133:AF157" si="198">IF(N133="", 0,IF($E133="C",W133,IF($E133="F",X133,IF($E133="M",1," "))))</f>
        <v>0</v>
      </c>
      <c r="AG133" s="523">
        <f t="shared" ref="AG133:AG157" si="199">IF(N133="", 0,IF($O$9="L", $AE133, IF($O$9 = "H", 1, IF($O$9="M", 0.8, ""))))</f>
        <v>0</v>
      </c>
      <c r="AH133" s="523">
        <f t="shared" ref="AH133:AH157" si="200">IF(N133&gt;0, AF133*AG133, 0)</f>
        <v>0</v>
      </c>
      <c r="AI133" s="526"/>
      <c r="AJ133" s="527">
        <f>AB133*(IF(ISNA(VLOOKUP($I133,Veg_Parameters!$A$3:$N$65,5,FALSE)),0,(VLOOKUP($I133,Veg_Parameters!$A$3:$N$65,5,FALSE))))</f>
        <v>0</v>
      </c>
      <c r="AK133" s="527">
        <f>IF(ISNA(VLOOKUP($I133,Veg_Parameters!$A$3:$N$65,4,FALSE)),0,(VLOOKUP($I133,Veg_Parameters!$A$3:$N$65,4,FALSE)))</f>
        <v>0</v>
      </c>
      <c r="AL133" s="527">
        <f>AB133*(IF(ISNA(VLOOKUP($I133,Veg_Parameters!$A$3:$N$65,7,FALSE)),0, (VLOOKUP($I133,Veg_Parameters!$A$3:$N$65,7,FALSE))))</f>
        <v>0</v>
      </c>
      <c r="AM133" s="528">
        <f>IF(ISNA(VLOOKUP($I133,Veg_Parameters!$A$3:$N$65,6,FALSE)), 0, (VLOOKUP($I133,Veg_Parameters!$A$3:$N$65,6,FALSE)))</f>
        <v>0</v>
      </c>
      <c r="AN133" s="529">
        <f t="shared" ref="AN133:AN157" si="201">IF($O$7=1,J133+$O$8,J133)</f>
        <v>20</v>
      </c>
      <c r="AO133" s="529">
        <f t="shared" ref="AO133:AO157" si="202">IF(AJ133&gt;0, AK133*(1-EXP(-AJ133*AN133/AK133)), 0)</f>
        <v>0</v>
      </c>
      <c r="AP133" s="529">
        <f t="shared" ref="AP133:AP157" si="203">IF(K133&gt;0, K133*0.3048, AO133)</f>
        <v>0</v>
      </c>
      <c r="AQ133" s="530">
        <f>IF(AL133&gt;0, AM133*(1-EXP(-AL133*AN133/AM133)), 0)</f>
        <v>0</v>
      </c>
      <c r="AR133" s="527" t="s">
        <v>3</v>
      </c>
      <c r="AS133" s="527">
        <f>IF(ISNA(VLOOKUP($I133,Veg_Parameters!$A$3:$N$65,8,FALSE)), 0, (VLOOKUP($I133,Veg_Parameters!$A$3:$N$65,8,FALSE)))</f>
        <v>0</v>
      </c>
      <c r="AT133" s="527">
        <f>AB133*(IF(ISNA(VLOOKUP($I133,Veg_Parameters!$A$3:$N$65,9,FALSE)), 0, (VLOOKUP($I133,Veg_Parameters!$A$3:$N$65,9,FALSE))))</f>
        <v>0</v>
      </c>
      <c r="AU133" s="527">
        <f>IF(ISBLANK(A133),0,VLOOKUP($I133,Veg_Parameters!$A$4:$U$65,21,))</f>
        <v>0</v>
      </c>
      <c r="AV133" s="527">
        <f>IF(OR(I133=3500,I133=3600),U133,0)</f>
        <v>0</v>
      </c>
      <c r="AW133" s="529">
        <f>IF(AT133&gt;0, AS133*(1-EXP(-AT133*AN133/AS133)),0)</f>
        <v>0</v>
      </c>
      <c r="AX133" s="529">
        <f>PI()*(0.5*AW133)^2</f>
        <v>0</v>
      </c>
      <c r="AY133" s="529">
        <f t="shared" ref="AY133:AY157" si="204">IF(AX133*L133*($D133/1000)&lt;$U133, AX133*L133*($D133/1000), $U133)</f>
        <v>0</v>
      </c>
      <c r="AZ133" s="529">
        <f>+IF(AP133&gt;4.6,AY133,0)</f>
        <v>0</v>
      </c>
      <c r="BA133" s="529">
        <f>IF(AND(AP133&gt;0.9,AP133&lt;4.6),AY133,IF(AP133&gt;4.6,0.5*AY133,0))</f>
        <v>0</v>
      </c>
      <c r="BB133" s="529">
        <f>IF(AND(AP133&gt;0,AP133&lt;0.9),AY133,IF(AND(AP133&gt;0.9,AP133&lt;4.6),AY133*0.5,IF(AP133&gt;4.6,AY133*0.25,0)))</f>
        <v>0</v>
      </c>
      <c r="BC133" s="529">
        <f t="shared" ref="BC133:BC157" si="205">IF(ISBLANK(A133),0,(AY133*AU133))</f>
        <v>0</v>
      </c>
      <c r="BD133" s="531"/>
      <c r="BE133" s="527">
        <f>AH133*(IF(ISNA(VLOOKUP($N133,Veg_Parameters!$A$3:$N$65,5,FALSE)),0,(VLOOKUP($N133,Veg_Parameters!$A$3:$N$65,5,FALSE))))</f>
        <v>0</v>
      </c>
      <c r="BF133" s="527">
        <f>IF(ISNA(VLOOKUP($N133,Veg_Parameters!$A$3:$N$65,4,FALSE)),0,(VLOOKUP($N133,Veg_Parameters!$A$3:$N$65,4,FALSE)))</f>
        <v>0</v>
      </c>
      <c r="BG133" s="527">
        <f>AH133*(IF(ISNA(VLOOKUP($N133,Veg_Parameters!$A$3:$N$65,7,FALSE)),0, (VLOOKUP($N133,Veg_Parameters!$A$3:$N$65,7,FALSE))))</f>
        <v>0</v>
      </c>
      <c r="BH133" s="527">
        <f>IF(ISNA(VLOOKUP($N133,Veg_Parameters!$A$3:$N$65,6,FALSE)), 0, (VLOOKUP($N133,Veg_Parameters!$A$3:$N$65,6,FALSE)))</f>
        <v>0</v>
      </c>
      <c r="BI133" s="529">
        <f t="shared" ref="BI133:BI157" si="206">IF($O$7=1,O133+$O$8,O133)</f>
        <v>20</v>
      </c>
      <c r="BJ133" s="529">
        <f>IF(BE133&gt;0, BF133*(1-EXP(-BE133*BI133/BF133)), 0)</f>
        <v>0</v>
      </c>
      <c r="BK133" s="529">
        <f t="shared" ref="BK133:BK157" si="207">IF(P133&gt;0, P133*0.3048, BJ133)</f>
        <v>0</v>
      </c>
      <c r="BL133" s="530">
        <f>IF(BG133&gt;0, BH133*(1-EXP(-BG133*BI133/BH133)), 0)</f>
        <v>0</v>
      </c>
      <c r="BM133" s="527" t="s">
        <v>3</v>
      </c>
      <c r="BN133" s="527">
        <f>IF(ISNA(VLOOKUP(N133,Veg_Parameters!$A$3:$N$65,8,FALSE)), 0, (VLOOKUP($N133,Veg_Parameters!$A$3:$N$65,8,FALSE)))</f>
        <v>0</v>
      </c>
      <c r="BO133" s="527">
        <f>AH133*(IF(ISNA(VLOOKUP($N133,Veg_Parameters!$A$3:$N$65,9,FALSE)), 0, (VLOOKUP($N133,Veg_Parameters!$A$3:$N$65,9,FALSE))))</f>
        <v>0</v>
      </c>
      <c r="BP133" s="527" t="str">
        <f>IF(ISBLANK(N133),"0",VLOOKUP($N133,Veg_Parameters!$A$4:$U$65,21,))</f>
        <v>0</v>
      </c>
      <c r="BQ133" s="529">
        <f>IF(BO133&gt;0, BN133*(1-EXP(-BO133*BI133/BN133)),0)</f>
        <v>0</v>
      </c>
      <c r="BR133" s="529">
        <f>PI()*(0.5*BQ133)^2</f>
        <v>0</v>
      </c>
      <c r="BS133" s="529">
        <f t="shared" ref="BS133:BS157" si="208">IF(BR133*Q133*($D133/1000)&lt;$U133, BR133*Q133*($D133/1000), $U133)</f>
        <v>0</v>
      </c>
      <c r="BT133" s="529">
        <f>+IF(BK133&gt;4.6,BS133,0)</f>
        <v>0</v>
      </c>
      <c r="BU133" s="529">
        <f>IF(AND(BK133&lt;4.6,BK133&gt;0.9),BS133,IF(BK133&gt;4.6,(0.5*BS133),0))</f>
        <v>0</v>
      </c>
      <c r="BV133" s="529">
        <f>IF(AND(BK133&gt;0,BK133&lt;0.9),BS133,IF(AND(BK133&gt;0.9,BK133&lt;4.6),BS133*0.5,IF(BK133&gt;4.6,(BS133*0.25),0)))</f>
        <v>0</v>
      </c>
      <c r="BW133" s="532" t="str">
        <f t="shared" ref="BW133:BW157" si="209">IF(AP133&gt;4.57,I133,"")</f>
        <v/>
      </c>
      <c r="BX133" s="532" t="str">
        <f t="shared" ref="BX133:BX157" si="210">IF(BK133&gt;4.57,N133,"")</f>
        <v/>
      </c>
      <c r="BY133" s="532" t="str">
        <f t="shared" ref="BY133:BY157" si="211">IF((AND(AP133&gt;0.76,AP133&lt;4.6)),I133,"")</f>
        <v/>
      </c>
      <c r="BZ133" s="532" t="str">
        <f t="shared" ref="BZ133:BZ157" si="212">IF((AND(BK133&gt;0.76,BK133&lt;4.6)),N133,"")</f>
        <v/>
      </c>
      <c r="CA133" s="532">
        <f t="shared" ref="CA133:CA157" si="213">IF(ISBLANK(N133),0,(BS133*BP133))</f>
        <v>0</v>
      </c>
      <c r="CB133" s="533"/>
      <c r="CC133" s="624">
        <f t="shared" ref="CC133:CC157" si="214">IF(ISERROR(IF((AY133+BS133)&lt;$U133,(AY133*AQ133+BS133*BL133),(((AQ133*AY133+BL133*BS133)/(AY133+BS133))*$U133))),0,IF((AY133+BS133)&lt;$U133,(AY133*AQ133+BS133*BL133),(((AQ133*AY133+BL133*BS133)/(AY133+BS133))*$U133)))</f>
        <v>0</v>
      </c>
      <c r="CD133" s="534">
        <f t="shared" ref="CD133:CD157" si="215">IF(ISERROR(IF((AZ133+BT133)&lt;$U133,(AQ133*AZ133+BT133*BL133),(((AQ133*AZ133+BL133*BT133)/(AZ133+BT133))*$U133))),0,IF((AZ133+BT133)&lt;$U133,(AQ133*AZ133+BT133*BL133),(((AQ133*AZ133+BL133*BT133)/(AZ133+BT133))*$U133)))</f>
        <v>0</v>
      </c>
      <c r="CE133" s="534">
        <f t="shared" ref="CE133:CE157" si="216">IF(ISERROR(IF((BA133+BU133)&lt;$U133,(AQ133*BA133+BL133*BU133),(((AQ133*BA133+BL133*BU133)/(BA133+BU133))*$U133))),0,IF((BA133+BU133)&lt;$U133,(AQ133*BA133+BL133*BU133),(((AQ133*BA133+BL133*BU133)/(BA133+BU133))*$U133)))</f>
        <v>0</v>
      </c>
      <c r="CF133" s="534">
        <f t="shared" ref="CF133:CF157" si="217">+IF(ISBLANK(A133),0,IF((BB133+BV133+(G133/100)*U133)&gt;U133,U133,(BB133+BV133+(G133/100)*U133)))</f>
        <v>0</v>
      </c>
      <c r="CG133" s="534"/>
      <c r="CH133" s="534"/>
      <c r="CI133" s="534">
        <f>BC133+CA133</f>
        <v>0</v>
      </c>
      <c r="CL133" s="534">
        <f>IF(ISNA(VLOOKUP(I133,Veg_Parameters!$A$3:$N$65,13,FALSE)),0,(VLOOKUP(I133,Veg_Parameters!$A$3:$N$65,13,FALSE)))</f>
        <v>0</v>
      </c>
      <c r="CM133" s="534">
        <f>+IF(ISBLANK(A133),0,IF(CL133="H",BB133,0))</f>
        <v>0</v>
      </c>
      <c r="CN133" s="534">
        <f>IF(ISNA(VLOOKUP(N133,Veg_Parameters!$A$3:$N$65,13,FALSE)),0,(VLOOKUP(N133,Veg_Parameters!$A$3:$N$65,13,FALSE)))</f>
        <v>0</v>
      </c>
      <c r="CO133" s="523">
        <f>+IF(ISBLANK(A133),0, IF(CN133="H", BV133, 0))</f>
        <v>0</v>
      </c>
    </row>
    <row r="134" spans="1:93" x14ac:dyDescent="0.2">
      <c r="A134" s="230"/>
      <c r="B134" s="171" t="str">
        <f>IF(ISBLANK(A134),"",$B$133)</f>
        <v/>
      </c>
      <c r="C134" s="230"/>
      <c r="D134" s="169"/>
      <c r="E134" s="165"/>
      <c r="F134" s="165"/>
      <c r="G134" s="165"/>
      <c r="H134" s="165"/>
      <c r="I134" s="166"/>
      <c r="J134" s="167"/>
      <c r="K134" s="166"/>
      <c r="L134" s="166"/>
      <c r="M134" s="167"/>
      <c r="N134" s="166"/>
      <c r="O134" s="166"/>
      <c r="P134" s="167"/>
      <c r="Q134" s="167"/>
      <c r="R134" s="167"/>
      <c r="S134" s="222" t="str">
        <f>IF(ISBLANK(A134),"",IF(ISNA(VLOOKUP(I134,Veg_Parameters!$A$3:$N$65,3,FALSE)),0,(VLOOKUP(I134,Veg_Parameters!$A$3:$N$65,3,FALSE))))</f>
        <v/>
      </c>
      <c r="T134" s="222" t="str">
        <f>IF(ISBLANK(N134),"",IF(ISNA(VLOOKUP(N134,Veg_Parameters!$A$3:$N$65,3,FALSE)),0,(VLOOKUP(N134,Veg_Parameters!$A$3:$N$65,3,FALSE))))</f>
        <v/>
      </c>
      <c r="U134" s="523">
        <f t="shared" ref="U134:U157" si="218">IF(ISBLANK(A134),0,0.092903*D134)</f>
        <v>0</v>
      </c>
      <c r="V134" s="523">
        <f t="shared" si="194"/>
        <v>0</v>
      </c>
      <c r="W134" s="524">
        <f>IF(ISBLANK(A134),0,IF(ISNA(VLOOKUP($I134,Veg_Parameters!$A$3:$N$65,10,FALSE)),0,(VLOOKUP($I134,Veg_Parameters!$A$3:$N$65,10,FALSE))))</f>
        <v>0</v>
      </c>
      <c r="X134" s="524">
        <f>IF(ISBLANK(A134),0,IF(ISNA(VLOOKUP($I134,Veg_Parameters!$A$3:$N$65,11,FALSE)),0,(VLOOKUP($I134,Veg_Parameters!$A$3:$N$65,11,FALSE))))</f>
        <v>0</v>
      </c>
      <c r="Y134" s="524">
        <f>IF(ISBLANK(A134),0,IF(ISNA(VLOOKUP($I134,Veg_Parameters!$A$3:$N$65,12,FALSE)),0,(VLOOKUP($I134,Veg_Parameters!$A$3:$N$65,12,FALSE))))</f>
        <v>0</v>
      </c>
      <c r="Z134" s="525">
        <f t="shared" si="195"/>
        <v>0</v>
      </c>
      <c r="AA134" s="525">
        <f t="shared" si="196"/>
        <v>0</v>
      </c>
      <c r="AB134" s="525">
        <f t="shared" si="197"/>
        <v>0</v>
      </c>
      <c r="AC134" s="524">
        <f>IF(ISBLANK(N134),0,IF(ISNA(VLOOKUP($N134,Veg_Parameters!$A$3:$N$65,10,FALSE)),0,(VLOOKUP($N134,Veg_Parameters!$A$3:$N$65,10,FALSE))))</f>
        <v>0</v>
      </c>
      <c r="AD134" s="524">
        <f>IF(ISBLANK(N134),0,IF(ISNA(VLOOKUP($N134,Veg_Parameters!$A$3:$N$65,11,FALSE)),0,(VLOOKUP($N134,Veg_Parameters!$A$3:$N$65,11,FALSE))))</f>
        <v>0</v>
      </c>
      <c r="AE134" s="524">
        <f>IF(ISBLANK(N134), 0, IF(ISNA(VLOOKUP($N134,Veg_Parameters!$A$3:$N$65,12,FALSE)),0,(VLOOKUP($N134,Veg_Parameters!$A$3:$N$65,12,FALSE))))</f>
        <v>0</v>
      </c>
      <c r="AF134" s="523">
        <f t="shared" si="198"/>
        <v>0</v>
      </c>
      <c r="AG134" s="523">
        <f t="shared" si="199"/>
        <v>0</v>
      </c>
      <c r="AH134" s="523">
        <f t="shared" si="200"/>
        <v>0</v>
      </c>
      <c r="AI134" s="526"/>
      <c r="AJ134" s="527">
        <f>AB134*(IF(ISNA(VLOOKUP($I134,Veg_Parameters!$A$3:$N$65,5,FALSE)),0,(VLOOKUP($I134,Veg_Parameters!$A$3:$N$65,5,FALSE))))</f>
        <v>0</v>
      </c>
      <c r="AK134" s="527">
        <f>IF(ISNA(VLOOKUP($I134,Veg_Parameters!$A$3:$N$65,4,FALSE)),0,(VLOOKUP($I134,Veg_Parameters!$A$3:$N$65,4,FALSE)))</f>
        <v>0</v>
      </c>
      <c r="AL134" s="527">
        <f>AB134*(IF(ISNA(VLOOKUP($I134,Veg_Parameters!$A$3:$N$65,7,FALSE)),0, (VLOOKUP($I134,Veg_Parameters!$A$3:$N$65,7,FALSE))))</f>
        <v>0</v>
      </c>
      <c r="AM134" s="528">
        <f>IF(ISNA(VLOOKUP($I134,Veg_Parameters!$A$3:$N$65,6,FALSE)), 0, (VLOOKUP($I134,Veg_Parameters!$A$3:$N$65,6,FALSE)))</f>
        <v>0</v>
      </c>
      <c r="AN134" s="529">
        <f t="shared" si="201"/>
        <v>20</v>
      </c>
      <c r="AO134" s="529">
        <f t="shared" si="202"/>
        <v>0</v>
      </c>
      <c r="AP134" s="529">
        <f t="shared" si="203"/>
        <v>0</v>
      </c>
      <c r="AQ134" s="530">
        <f t="shared" ref="AQ134:AQ157" si="219">IF(AL134&gt;0, AM134*(1-EXP(-AL134*AN134/AM134)), 0)</f>
        <v>0</v>
      </c>
      <c r="AR134" s="527" t="s">
        <v>3</v>
      </c>
      <c r="AS134" s="527">
        <f>IF(ISNA(VLOOKUP($I134,Veg_Parameters!$A$3:$N$65,8,FALSE)), 0, (VLOOKUP($I134,Veg_Parameters!$A$3:$N$65,8,FALSE)))</f>
        <v>0</v>
      </c>
      <c r="AT134" s="527">
        <f>AB134*(IF(ISNA(VLOOKUP($I134,Veg_Parameters!$A$3:$N$65,9,FALSE)), 0, (VLOOKUP($I134,Veg_Parameters!$A$3:$N$65,9,FALSE))))</f>
        <v>0</v>
      </c>
      <c r="AU134" s="527">
        <f>IF(ISBLANK(A134),0,VLOOKUP($I134,Veg_Parameters!$A$4:$U$65,21,))</f>
        <v>0</v>
      </c>
      <c r="AV134" s="527">
        <f t="shared" ref="AV134:AV157" si="220">IF(OR(I134=3500,I134=3600),U134,0)</f>
        <v>0</v>
      </c>
      <c r="AW134" s="529">
        <f t="shared" ref="AW134:AW157" si="221">IF(AT134&gt;0, AS134*(1-EXP(-AT134*AN134/AS134)),0)</f>
        <v>0</v>
      </c>
      <c r="AX134" s="529">
        <f t="shared" ref="AX134:AX157" si="222">PI()*(0.5*AW134)^2</f>
        <v>0</v>
      </c>
      <c r="AY134" s="529">
        <f t="shared" si="204"/>
        <v>0</v>
      </c>
      <c r="AZ134" s="529">
        <f t="shared" ref="AZ134:AZ157" si="223">+IF(AP134&gt;4.6,AY134,0)</f>
        <v>0</v>
      </c>
      <c r="BA134" s="529">
        <f t="shared" ref="BA134:BA157" si="224">IF(AND(AP134&gt;0.9,AP134&lt;4.6),AY134,IF(AP134&gt;4.6,0.5*AY134,0))</f>
        <v>0</v>
      </c>
      <c r="BB134" s="529">
        <f t="shared" ref="BB134:BB157" si="225">IF(AND(AP134&gt;0,AP134&lt;0.9),AY134,IF(AND(AP134&gt;0.9,AP134&lt;4.6),AY134*0.5,IF(AP134&gt;4.6,AY134*0.25,0)))</f>
        <v>0</v>
      </c>
      <c r="BC134" s="529">
        <f t="shared" si="205"/>
        <v>0</v>
      </c>
      <c r="BD134" s="531"/>
      <c r="BE134" s="527">
        <f>AH134*(IF(ISNA(VLOOKUP($N134,Veg_Parameters!$A$3:$N$65,5,FALSE)),0,(VLOOKUP($N134,Veg_Parameters!$A$3:$N$65,5,FALSE))))</f>
        <v>0</v>
      </c>
      <c r="BF134" s="527">
        <f>IF(ISNA(VLOOKUP($N134,Veg_Parameters!$A$3:$N$65,4,FALSE)),0,(VLOOKUP($N134,Veg_Parameters!$A$3:$N$65,4,FALSE)))</f>
        <v>0</v>
      </c>
      <c r="BG134" s="527">
        <f>AH134*(IF(ISNA(VLOOKUP($N134,Veg_Parameters!$A$3:$N$65,7,FALSE)),0, (VLOOKUP($N134,Veg_Parameters!$A$3:$N$65,7,FALSE))))</f>
        <v>0</v>
      </c>
      <c r="BH134" s="527">
        <f>IF(ISNA(VLOOKUP($N134,Veg_Parameters!$A$3:$N$65,6,FALSE)), 0, (VLOOKUP($N134,Veg_Parameters!$A$3:$N$65,6,FALSE)))</f>
        <v>0</v>
      </c>
      <c r="BI134" s="529">
        <f t="shared" si="206"/>
        <v>20</v>
      </c>
      <c r="BJ134" s="529">
        <f t="shared" ref="BJ134:BJ157" si="226">IF(BE134&gt;0, BF134*(1-EXP(-BE134*BI134/BF134)), 0)</f>
        <v>0</v>
      </c>
      <c r="BK134" s="529">
        <f t="shared" si="207"/>
        <v>0</v>
      </c>
      <c r="BL134" s="530">
        <f t="shared" ref="BL134:BL157" si="227">IF(BG134&gt;0, BH134*(1-EXP(-BG134*BI134/BH134)), 0)</f>
        <v>0</v>
      </c>
      <c r="BM134" s="527" t="s">
        <v>3</v>
      </c>
      <c r="BN134" s="527">
        <f>IF(ISNA(VLOOKUP(N134,Veg_Parameters!$A$3:$N$65,8,FALSE)), 0, (VLOOKUP($N134,Veg_Parameters!$A$3:$N$65,8,FALSE)))</f>
        <v>0</v>
      </c>
      <c r="BO134" s="527">
        <f>AH134*(IF(ISNA(VLOOKUP($N134,Veg_Parameters!$A$3:$N$65,9,FALSE)), 0, (VLOOKUP($N134,Veg_Parameters!$A$3:$N$65,9,FALSE))))</f>
        <v>0</v>
      </c>
      <c r="BP134" s="527" t="str">
        <f>IF(ISBLANK(N134),"0",VLOOKUP($N134,Veg_Parameters!$A$4:$U$65,21,))</f>
        <v>0</v>
      </c>
      <c r="BQ134" s="529">
        <f t="shared" ref="BQ134:BQ157" si="228">IF(BO134&gt;0, BN134*(1-EXP(-BO134*BI134/BN134)),0)</f>
        <v>0</v>
      </c>
      <c r="BR134" s="529">
        <f t="shared" ref="BR134:BR157" si="229">PI()*(0.5*BQ134)^2</f>
        <v>0</v>
      </c>
      <c r="BS134" s="529">
        <f t="shared" si="208"/>
        <v>0</v>
      </c>
      <c r="BT134" s="529">
        <f t="shared" ref="BT134:BT157" si="230">+IF(BK134&gt;4.6,BS134,0)</f>
        <v>0</v>
      </c>
      <c r="BU134" s="529">
        <f t="shared" ref="BU134:BU157" si="231">IF(AND(BK134&lt;4.6,BK134&gt;0.9),BS134,IF(BK134&gt;4.6,(0.5*BS134),0))</f>
        <v>0</v>
      </c>
      <c r="BV134" s="529">
        <f t="shared" ref="BV134:BV157" si="232">IF(AND(BK134&gt;0,BK134&lt;0.9),BS134,IF(AND(BK134&gt;0.9,BK134&lt;4.6),BS134*0.5,IF(BK134&gt;4.6,(BS134*0.25),0)))</f>
        <v>0</v>
      </c>
      <c r="BW134" s="532" t="str">
        <f t="shared" si="209"/>
        <v/>
      </c>
      <c r="BX134" s="532" t="str">
        <f t="shared" si="210"/>
        <v/>
      </c>
      <c r="BY134" s="532" t="str">
        <f t="shared" si="211"/>
        <v/>
      </c>
      <c r="BZ134" s="532" t="str">
        <f t="shared" si="212"/>
        <v/>
      </c>
      <c r="CA134" s="532">
        <f t="shared" si="213"/>
        <v>0</v>
      </c>
      <c r="CB134" s="533"/>
      <c r="CC134" s="624">
        <f t="shared" si="214"/>
        <v>0</v>
      </c>
      <c r="CD134" s="534">
        <f t="shared" si="215"/>
        <v>0</v>
      </c>
      <c r="CE134" s="534">
        <f t="shared" si="216"/>
        <v>0</v>
      </c>
      <c r="CF134" s="534">
        <f t="shared" si="217"/>
        <v>0</v>
      </c>
      <c r="CG134" s="534"/>
      <c r="CH134" s="534"/>
      <c r="CI134" s="534">
        <f t="shared" ref="CI134:CI157" si="233">BC134+CA134</f>
        <v>0</v>
      </c>
      <c r="CL134" s="534">
        <f>IF(ISNA(VLOOKUP(I134,Veg_Parameters!$A$3:$N$65,13,FALSE)),0,(VLOOKUP(I134,Veg_Parameters!$A$3:$N$65,13,FALSE)))</f>
        <v>0</v>
      </c>
      <c r="CM134" s="534">
        <f t="shared" ref="CM134:CM157" si="234">+IF(ISBLANK(A134),0,IF(CL134="H",BB134,0))</f>
        <v>0</v>
      </c>
      <c r="CN134" s="534">
        <f>IF(ISNA(VLOOKUP(N134,Veg_Parameters!$A$3:$N$65,13,FALSE)),0,(VLOOKUP(N134,Veg_Parameters!$A$3:$N$65,13,FALSE)))</f>
        <v>0</v>
      </c>
      <c r="CO134" s="523">
        <f t="shared" ref="CO134:CO157" si="235">+IF(ISBLANK(A134),0, IF(CN134="H", BV134, 0))</f>
        <v>0</v>
      </c>
    </row>
    <row r="135" spans="1:93" x14ac:dyDescent="0.2">
      <c r="A135" s="230"/>
      <c r="B135" s="171" t="str">
        <f t="shared" ref="B135:B157" si="236">IF(ISBLANK(A135),"",$B$133)</f>
        <v/>
      </c>
      <c r="C135" s="230"/>
      <c r="D135" s="169"/>
      <c r="E135" s="165"/>
      <c r="F135" s="165"/>
      <c r="G135" s="165"/>
      <c r="H135" s="165"/>
      <c r="I135" s="168"/>
      <c r="J135" s="167"/>
      <c r="K135" s="166"/>
      <c r="L135" s="166"/>
      <c r="M135" s="167"/>
      <c r="N135" s="168"/>
      <c r="O135" s="168"/>
      <c r="P135" s="167"/>
      <c r="Q135" s="167"/>
      <c r="R135" s="167"/>
      <c r="S135" s="222" t="str">
        <f>IF(ISBLANK(A135),"",IF(ISNA(VLOOKUP(I135,Veg_Parameters!$A$3:$N$65,3,FALSE)),0,(VLOOKUP(I135,Veg_Parameters!$A$3:$N$65,3,FALSE))))</f>
        <v/>
      </c>
      <c r="T135" s="222" t="str">
        <f>IF(ISBLANK(N135),"",IF(ISNA(VLOOKUP(N135,Veg_Parameters!$A$3:$N$65,3,FALSE)),0,(VLOOKUP(N135,Veg_Parameters!$A$3:$N$65,3,FALSE))))</f>
        <v/>
      </c>
      <c r="U135" s="523">
        <f t="shared" si="218"/>
        <v>0</v>
      </c>
      <c r="V135" s="523">
        <f t="shared" si="194"/>
        <v>0</v>
      </c>
      <c r="W135" s="524">
        <f>IF(ISBLANK(A135),0,IF(ISNA(VLOOKUP($I135,Veg_Parameters!$A$3:$N$65,10,FALSE)),0,(VLOOKUP($I135,Veg_Parameters!$A$3:$N$65,10,FALSE))))</f>
        <v>0</v>
      </c>
      <c r="X135" s="524">
        <f>IF(ISBLANK(A135),0,IF(ISNA(VLOOKUP($I135,Veg_Parameters!$A$3:$N$65,11,FALSE)),0,(VLOOKUP($I135,Veg_Parameters!$A$3:$N$65,11,FALSE))))</f>
        <v>0</v>
      </c>
      <c r="Y135" s="524">
        <f>IF(ISBLANK(A135),0,IF(ISNA(VLOOKUP($I135,Veg_Parameters!$A$3:$N$65,12,FALSE)),0,(VLOOKUP($I135,Veg_Parameters!$A$3:$N$65,12,FALSE))))</f>
        <v>0</v>
      </c>
      <c r="Z135" s="525">
        <f t="shared" si="195"/>
        <v>0</v>
      </c>
      <c r="AA135" s="525">
        <f t="shared" si="196"/>
        <v>0</v>
      </c>
      <c r="AB135" s="525">
        <f t="shared" si="197"/>
        <v>0</v>
      </c>
      <c r="AC135" s="524">
        <f>IF(ISBLANK(N135),0,IF(ISNA(VLOOKUP($N135,Veg_Parameters!$A$3:$N$65,10,FALSE)),0,(VLOOKUP($N135,Veg_Parameters!$A$3:$N$65,10,FALSE))))</f>
        <v>0</v>
      </c>
      <c r="AD135" s="524">
        <f>IF(ISBLANK(N135),0,IF(ISNA(VLOOKUP($N135,Veg_Parameters!$A$3:$N$65,11,FALSE)),0,(VLOOKUP($N135,Veg_Parameters!$A$3:$N$65,11,FALSE))))</f>
        <v>0</v>
      </c>
      <c r="AE135" s="524">
        <f>IF(ISBLANK(N135), 0, IF(ISNA(VLOOKUP($N135,Veg_Parameters!$A$3:$N$65,12,FALSE)),0,(VLOOKUP($N135,Veg_Parameters!$A$3:$N$65,12,FALSE))))</f>
        <v>0</v>
      </c>
      <c r="AF135" s="523">
        <f t="shared" si="198"/>
        <v>0</v>
      </c>
      <c r="AG135" s="523">
        <f t="shared" si="199"/>
        <v>0</v>
      </c>
      <c r="AH135" s="523">
        <f t="shared" si="200"/>
        <v>0</v>
      </c>
      <c r="AI135" s="526"/>
      <c r="AJ135" s="527">
        <f>AB135*(IF(ISNA(VLOOKUP($I135,Veg_Parameters!$A$3:$N$65,5,FALSE)),0,(VLOOKUP($I135,Veg_Parameters!$A$3:$N$65,5,FALSE))))</f>
        <v>0</v>
      </c>
      <c r="AK135" s="527">
        <f>IF(ISNA(VLOOKUP($I135,Veg_Parameters!$A$3:$N$65,4,FALSE)),0,(VLOOKUP($I135,Veg_Parameters!$A$3:$N$65,4,FALSE)))</f>
        <v>0</v>
      </c>
      <c r="AL135" s="527">
        <f>AB135*(IF(ISNA(VLOOKUP($I135,Veg_Parameters!$A$3:$N$65,7,FALSE)),0, (VLOOKUP($I135,Veg_Parameters!$A$3:$N$65,7,FALSE))))</f>
        <v>0</v>
      </c>
      <c r="AM135" s="528">
        <f>IF(ISNA(VLOOKUP($I135,Veg_Parameters!$A$3:$N$65,6,FALSE)), 0, (VLOOKUP($I135,Veg_Parameters!$A$3:$N$65,6,FALSE)))</f>
        <v>0</v>
      </c>
      <c r="AN135" s="529">
        <f t="shared" si="201"/>
        <v>20</v>
      </c>
      <c r="AO135" s="529">
        <f t="shared" si="202"/>
        <v>0</v>
      </c>
      <c r="AP135" s="529">
        <f t="shared" si="203"/>
        <v>0</v>
      </c>
      <c r="AQ135" s="530">
        <f t="shared" si="219"/>
        <v>0</v>
      </c>
      <c r="AR135" s="527" t="s">
        <v>3</v>
      </c>
      <c r="AS135" s="527">
        <f>IF(ISNA(VLOOKUP($I135,Veg_Parameters!$A$3:$N$65,8,FALSE)), 0, (VLOOKUP($I135,Veg_Parameters!$A$3:$N$65,8,FALSE)))</f>
        <v>0</v>
      </c>
      <c r="AT135" s="527">
        <f>AB135*(IF(ISNA(VLOOKUP($I135,Veg_Parameters!$A$3:$N$65,9,FALSE)), 0, (VLOOKUP($I135,Veg_Parameters!$A$3:$N$65,9,FALSE))))</f>
        <v>0</v>
      </c>
      <c r="AU135" s="527">
        <f>IF(ISBLANK(A135),0,VLOOKUP($I135,Veg_Parameters!$A$4:$U$65,21,))</f>
        <v>0</v>
      </c>
      <c r="AV135" s="527">
        <f t="shared" si="220"/>
        <v>0</v>
      </c>
      <c r="AW135" s="529">
        <f t="shared" si="221"/>
        <v>0</v>
      </c>
      <c r="AX135" s="529">
        <f t="shared" si="222"/>
        <v>0</v>
      </c>
      <c r="AY135" s="529">
        <f t="shared" si="204"/>
        <v>0</v>
      </c>
      <c r="AZ135" s="529">
        <f t="shared" si="223"/>
        <v>0</v>
      </c>
      <c r="BA135" s="529">
        <f t="shared" si="224"/>
        <v>0</v>
      </c>
      <c r="BB135" s="529">
        <f t="shared" si="225"/>
        <v>0</v>
      </c>
      <c r="BC135" s="529">
        <f t="shared" si="205"/>
        <v>0</v>
      </c>
      <c r="BD135" s="531"/>
      <c r="BE135" s="527">
        <f>AH135*(IF(ISNA(VLOOKUP($N135,Veg_Parameters!$A$3:$N$65,5,FALSE)),0,(VLOOKUP($N135,Veg_Parameters!$A$3:$N$65,5,FALSE))))</f>
        <v>0</v>
      </c>
      <c r="BF135" s="527">
        <f>IF(ISNA(VLOOKUP($N135,Veg_Parameters!$A$3:$N$65,4,FALSE)),0,(VLOOKUP($N135,Veg_Parameters!$A$3:$N$65,4,FALSE)))</f>
        <v>0</v>
      </c>
      <c r="BG135" s="527">
        <f>AH135*(IF(ISNA(VLOOKUP($N135,Veg_Parameters!$A$3:$N$65,7,FALSE)),0, (VLOOKUP($N135,Veg_Parameters!$A$3:$N$65,7,FALSE))))</f>
        <v>0</v>
      </c>
      <c r="BH135" s="527">
        <f>IF(ISNA(VLOOKUP($N135,Veg_Parameters!$A$3:$N$65,6,FALSE)), 0, (VLOOKUP($N135,Veg_Parameters!$A$3:$N$65,6,FALSE)))</f>
        <v>0</v>
      </c>
      <c r="BI135" s="529">
        <f t="shared" si="206"/>
        <v>20</v>
      </c>
      <c r="BJ135" s="529">
        <f t="shared" si="226"/>
        <v>0</v>
      </c>
      <c r="BK135" s="529">
        <f t="shared" si="207"/>
        <v>0</v>
      </c>
      <c r="BL135" s="530">
        <f t="shared" si="227"/>
        <v>0</v>
      </c>
      <c r="BM135" s="527" t="s">
        <v>3</v>
      </c>
      <c r="BN135" s="527">
        <f>IF(ISNA(VLOOKUP(N135,Veg_Parameters!$A$3:$N$65,8,FALSE)), 0, (VLOOKUP($N135,Veg_Parameters!$A$3:$N$65,8,FALSE)))</f>
        <v>0</v>
      </c>
      <c r="BO135" s="527">
        <f>AH135*(IF(ISNA(VLOOKUP($N135,Veg_Parameters!$A$3:$N$65,9,FALSE)), 0, (VLOOKUP($N135,Veg_Parameters!$A$3:$N$65,9,FALSE))))</f>
        <v>0</v>
      </c>
      <c r="BP135" s="527" t="str">
        <f>IF(ISBLANK(N135),"0",VLOOKUP($N135,Veg_Parameters!$A$4:$U$65,21,))</f>
        <v>0</v>
      </c>
      <c r="BQ135" s="529">
        <f t="shared" si="228"/>
        <v>0</v>
      </c>
      <c r="BR135" s="529">
        <f t="shared" si="229"/>
        <v>0</v>
      </c>
      <c r="BS135" s="529">
        <f t="shared" si="208"/>
        <v>0</v>
      </c>
      <c r="BT135" s="529">
        <f t="shared" si="230"/>
        <v>0</v>
      </c>
      <c r="BU135" s="529">
        <f t="shared" si="231"/>
        <v>0</v>
      </c>
      <c r="BV135" s="529">
        <f t="shared" si="232"/>
        <v>0</v>
      </c>
      <c r="BW135" s="532" t="str">
        <f t="shared" si="209"/>
        <v/>
      </c>
      <c r="BX135" s="532" t="str">
        <f t="shared" si="210"/>
        <v/>
      </c>
      <c r="BY135" s="532" t="str">
        <f t="shared" si="211"/>
        <v/>
      </c>
      <c r="BZ135" s="532" t="str">
        <f t="shared" si="212"/>
        <v/>
      </c>
      <c r="CA135" s="532">
        <f t="shared" si="213"/>
        <v>0</v>
      </c>
      <c r="CB135" s="533"/>
      <c r="CC135" s="624">
        <f t="shared" si="214"/>
        <v>0</v>
      </c>
      <c r="CD135" s="534">
        <f t="shared" si="215"/>
        <v>0</v>
      </c>
      <c r="CE135" s="534">
        <f t="shared" si="216"/>
        <v>0</v>
      </c>
      <c r="CF135" s="534">
        <f t="shared" si="217"/>
        <v>0</v>
      </c>
      <c r="CG135" s="534"/>
      <c r="CH135" s="534"/>
      <c r="CI135" s="534">
        <f t="shared" si="233"/>
        <v>0</v>
      </c>
      <c r="CL135" s="534">
        <f>IF(ISNA(VLOOKUP(I135,Veg_Parameters!$A$3:$N$65,13,FALSE)),0,(VLOOKUP(I135,Veg_Parameters!$A$3:$N$65,13,FALSE)))</f>
        <v>0</v>
      </c>
      <c r="CM135" s="534">
        <f t="shared" si="234"/>
        <v>0</v>
      </c>
      <c r="CN135" s="534">
        <f>IF(ISNA(VLOOKUP(N135,Veg_Parameters!$A$3:$N$65,13,FALSE)),0,(VLOOKUP(N135,Veg_Parameters!$A$3:$N$65,13,FALSE)))</f>
        <v>0</v>
      </c>
      <c r="CO135" s="523">
        <f t="shared" si="235"/>
        <v>0</v>
      </c>
    </row>
    <row r="136" spans="1:93" x14ac:dyDescent="0.2">
      <c r="A136" s="230"/>
      <c r="B136" s="171" t="str">
        <f t="shared" si="236"/>
        <v/>
      </c>
      <c r="C136" s="230"/>
      <c r="D136" s="169"/>
      <c r="E136" s="165"/>
      <c r="F136" s="165"/>
      <c r="G136" s="165"/>
      <c r="H136" s="165"/>
      <c r="I136" s="168"/>
      <c r="J136" s="167"/>
      <c r="K136" s="168"/>
      <c r="L136" s="167"/>
      <c r="M136" s="167"/>
      <c r="N136" s="168"/>
      <c r="O136" s="168"/>
      <c r="P136" s="167"/>
      <c r="Q136" s="167"/>
      <c r="R136" s="167"/>
      <c r="S136" s="222" t="str">
        <f>IF(ISBLANK(A136),"",IF(ISNA(VLOOKUP(I136,Veg_Parameters!$A$3:$N$65,3,FALSE)),0,(VLOOKUP(I136,Veg_Parameters!$A$3:$N$65,3,FALSE))))</f>
        <v/>
      </c>
      <c r="T136" s="222" t="str">
        <f>IF(ISBLANK(N136),"",IF(ISNA(VLOOKUP(N136,Veg_Parameters!$A$3:$N$65,3,FALSE)),0,(VLOOKUP(N136,Veg_Parameters!$A$3:$N$65,3,FALSE))))</f>
        <v/>
      </c>
      <c r="U136" s="523">
        <f t="shared" si="218"/>
        <v>0</v>
      </c>
      <c r="V136" s="523">
        <f t="shared" si="194"/>
        <v>0</v>
      </c>
      <c r="W136" s="524">
        <f>IF(ISBLANK(A136),0,IF(ISNA(VLOOKUP($I136,Veg_Parameters!$A$3:$N$65,10,FALSE)),0,(VLOOKUP($I136,Veg_Parameters!$A$3:$N$65,10,FALSE))))</f>
        <v>0</v>
      </c>
      <c r="X136" s="524">
        <f>IF(ISBLANK(A136),0,IF(ISNA(VLOOKUP($I136,Veg_Parameters!$A$3:$N$65,11,FALSE)),0,(VLOOKUP($I136,Veg_Parameters!$A$3:$N$65,11,FALSE))))</f>
        <v>0</v>
      </c>
      <c r="Y136" s="524">
        <f>IF(ISBLANK(A136),0,IF(ISNA(VLOOKUP($I136,Veg_Parameters!$A$3:$N$65,12,FALSE)),0,(VLOOKUP($I136,Veg_Parameters!$A$3:$N$65,12,FALSE))))</f>
        <v>0</v>
      </c>
      <c r="Z136" s="525">
        <f t="shared" si="195"/>
        <v>0</v>
      </c>
      <c r="AA136" s="525">
        <f t="shared" si="196"/>
        <v>0</v>
      </c>
      <c r="AB136" s="525">
        <f t="shared" si="197"/>
        <v>0</v>
      </c>
      <c r="AC136" s="524">
        <f>IF(ISBLANK(N136),0,IF(ISNA(VLOOKUP($N136,Veg_Parameters!$A$3:$N$65,10,FALSE)),0,(VLOOKUP($N136,Veg_Parameters!$A$3:$N$65,10,FALSE))))</f>
        <v>0</v>
      </c>
      <c r="AD136" s="524">
        <f>IF(ISBLANK(N136),0,IF(ISNA(VLOOKUP($N136,Veg_Parameters!$A$3:$N$65,11,FALSE)),0,(VLOOKUP($N136,Veg_Parameters!$A$3:$N$65,11,FALSE))))</f>
        <v>0</v>
      </c>
      <c r="AE136" s="524">
        <f>IF(ISBLANK(N136), 0, IF(ISNA(VLOOKUP($N136,Veg_Parameters!$A$3:$N$65,12,FALSE)),0,(VLOOKUP($N136,Veg_Parameters!$A$3:$N$65,12,FALSE))))</f>
        <v>0</v>
      </c>
      <c r="AF136" s="523">
        <f t="shared" si="198"/>
        <v>0</v>
      </c>
      <c r="AG136" s="523">
        <f t="shared" si="199"/>
        <v>0</v>
      </c>
      <c r="AH136" s="523">
        <f t="shared" si="200"/>
        <v>0</v>
      </c>
      <c r="AI136" s="526"/>
      <c r="AJ136" s="527">
        <f>AB136*(IF(ISNA(VLOOKUP($I136,Veg_Parameters!$A$3:$N$65,5,FALSE)),0,(VLOOKUP($I136,Veg_Parameters!$A$3:$N$65,5,FALSE))))</f>
        <v>0</v>
      </c>
      <c r="AK136" s="527">
        <f>IF(ISNA(VLOOKUP($I136,Veg_Parameters!$A$3:$N$65,4,FALSE)),0,(VLOOKUP($I136,Veg_Parameters!$A$3:$N$65,4,FALSE)))</f>
        <v>0</v>
      </c>
      <c r="AL136" s="527">
        <f>AB136*(IF(ISNA(VLOOKUP($I136,Veg_Parameters!$A$3:$N$65,7,FALSE)),0, (VLOOKUP($I136,Veg_Parameters!$A$3:$N$65,7,FALSE))))</f>
        <v>0</v>
      </c>
      <c r="AM136" s="528">
        <f>IF(ISNA(VLOOKUP($I136,Veg_Parameters!$A$3:$N$65,6,FALSE)), 0, (VLOOKUP($I136,Veg_Parameters!$A$3:$N$65,6,FALSE)))</f>
        <v>0</v>
      </c>
      <c r="AN136" s="529">
        <f t="shared" si="201"/>
        <v>20</v>
      </c>
      <c r="AO136" s="529">
        <f t="shared" si="202"/>
        <v>0</v>
      </c>
      <c r="AP136" s="529">
        <f t="shared" si="203"/>
        <v>0</v>
      </c>
      <c r="AQ136" s="530">
        <f t="shared" si="219"/>
        <v>0</v>
      </c>
      <c r="AR136" s="527" t="s">
        <v>3</v>
      </c>
      <c r="AS136" s="527">
        <f>IF(ISNA(VLOOKUP($I136,Veg_Parameters!$A$3:$N$65,8,FALSE)), 0, (VLOOKUP($I136,Veg_Parameters!$A$3:$N$65,8,FALSE)))</f>
        <v>0</v>
      </c>
      <c r="AT136" s="527">
        <f>AB136*(IF(ISNA(VLOOKUP($I136,Veg_Parameters!$A$3:$N$65,9,FALSE)), 0, (VLOOKUP($I136,Veg_Parameters!$A$3:$N$65,9,FALSE))))</f>
        <v>0</v>
      </c>
      <c r="AU136" s="527">
        <f>IF(ISBLANK(A136),0,VLOOKUP($I136,Veg_Parameters!$A$4:$U$65,21,))</f>
        <v>0</v>
      </c>
      <c r="AV136" s="527">
        <f t="shared" si="220"/>
        <v>0</v>
      </c>
      <c r="AW136" s="529">
        <f t="shared" si="221"/>
        <v>0</v>
      </c>
      <c r="AX136" s="529">
        <f t="shared" si="222"/>
        <v>0</v>
      </c>
      <c r="AY136" s="529">
        <f t="shared" si="204"/>
        <v>0</v>
      </c>
      <c r="AZ136" s="529">
        <f t="shared" si="223"/>
        <v>0</v>
      </c>
      <c r="BA136" s="529">
        <f t="shared" si="224"/>
        <v>0</v>
      </c>
      <c r="BB136" s="529">
        <f t="shared" si="225"/>
        <v>0</v>
      </c>
      <c r="BC136" s="529">
        <f t="shared" si="205"/>
        <v>0</v>
      </c>
      <c r="BD136" s="531"/>
      <c r="BE136" s="527">
        <f>AH136*(IF(ISNA(VLOOKUP($N136,Veg_Parameters!$A$3:$N$65,5,FALSE)),0,(VLOOKUP($N136,Veg_Parameters!$A$3:$N$65,5,FALSE))))</f>
        <v>0</v>
      </c>
      <c r="BF136" s="527">
        <f>IF(ISNA(VLOOKUP($N136,Veg_Parameters!$A$3:$N$65,4,FALSE)),0,(VLOOKUP($N136,Veg_Parameters!$A$3:$N$65,4,FALSE)))</f>
        <v>0</v>
      </c>
      <c r="BG136" s="527">
        <f>AH136*(IF(ISNA(VLOOKUP($N136,Veg_Parameters!$A$3:$N$65,7,FALSE)),0, (VLOOKUP($N136,Veg_Parameters!$A$3:$N$65,7,FALSE))))</f>
        <v>0</v>
      </c>
      <c r="BH136" s="527">
        <f>IF(ISNA(VLOOKUP($N136,Veg_Parameters!$A$3:$N$65,6,FALSE)), 0, (VLOOKUP($N136,Veg_Parameters!$A$3:$N$65,6,FALSE)))</f>
        <v>0</v>
      </c>
      <c r="BI136" s="529">
        <f t="shared" si="206"/>
        <v>20</v>
      </c>
      <c r="BJ136" s="529">
        <f t="shared" si="226"/>
        <v>0</v>
      </c>
      <c r="BK136" s="529">
        <f t="shared" si="207"/>
        <v>0</v>
      </c>
      <c r="BL136" s="530">
        <f t="shared" si="227"/>
        <v>0</v>
      </c>
      <c r="BM136" s="527" t="s">
        <v>3</v>
      </c>
      <c r="BN136" s="527">
        <f>IF(ISNA(VLOOKUP(N136,Veg_Parameters!$A$3:$N$65,8,FALSE)), 0, (VLOOKUP($N136,Veg_Parameters!$A$3:$N$65,8,FALSE)))</f>
        <v>0</v>
      </c>
      <c r="BO136" s="527">
        <f>AH136*(IF(ISNA(VLOOKUP($N136,Veg_Parameters!$A$3:$N$65,9,FALSE)), 0, (VLOOKUP($N136,Veg_Parameters!$A$3:$N$65,9,FALSE))))</f>
        <v>0</v>
      </c>
      <c r="BP136" s="527" t="str">
        <f>IF(ISBLANK(N136),"0",VLOOKUP($N136,Veg_Parameters!$A$4:$U$65,21,))</f>
        <v>0</v>
      </c>
      <c r="BQ136" s="529">
        <f t="shared" si="228"/>
        <v>0</v>
      </c>
      <c r="BR136" s="529">
        <f t="shared" si="229"/>
        <v>0</v>
      </c>
      <c r="BS136" s="529">
        <f t="shared" si="208"/>
        <v>0</v>
      </c>
      <c r="BT136" s="529">
        <f t="shared" si="230"/>
        <v>0</v>
      </c>
      <c r="BU136" s="529">
        <f t="shared" si="231"/>
        <v>0</v>
      </c>
      <c r="BV136" s="529">
        <f t="shared" si="232"/>
        <v>0</v>
      </c>
      <c r="BW136" s="532" t="str">
        <f t="shared" si="209"/>
        <v/>
      </c>
      <c r="BX136" s="532" t="str">
        <f t="shared" si="210"/>
        <v/>
      </c>
      <c r="BY136" s="532" t="str">
        <f t="shared" si="211"/>
        <v/>
      </c>
      <c r="BZ136" s="532" t="str">
        <f t="shared" si="212"/>
        <v/>
      </c>
      <c r="CA136" s="532">
        <f t="shared" si="213"/>
        <v>0</v>
      </c>
      <c r="CB136" s="533"/>
      <c r="CC136" s="624">
        <f t="shared" si="214"/>
        <v>0</v>
      </c>
      <c r="CD136" s="534">
        <f t="shared" si="215"/>
        <v>0</v>
      </c>
      <c r="CE136" s="534">
        <f t="shared" si="216"/>
        <v>0</v>
      </c>
      <c r="CF136" s="534">
        <f t="shared" si="217"/>
        <v>0</v>
      </c>
      <c r="CG136" s="534"/>
      <c r="CH136" s="534"/>
      <c r="CI136" s="534">
        <f t="shared" si="233"/>
        <v>0</v>
      </c>
      <c r="CL136" s="534">
        <f>IF(ISNA(VLOOKUP(I136,Veg_Parameters!$A$3:$N$65,13,FALSE)),0,(VLOOKUP(I136,Veg_Parameters!$A$3:$N$65,13,FALSE)))</f>
        <v>0</v>
      </c>
      <c r="CM136" s="534">
        <f t="shared" si="234"/>
        <v>0</v>
      </c>
      <c r="CN136" s="534">
        <f>IF(ISNA(VLOOKUP(N136,Veg_Parameters!$A$3:$N$65,13,FALSE)),0,(VLOOKUP(N136,Veg_Parameters!$A$3:$N$65,13,FALSE)))</f>
        <v>0</v>
      </c>
      <c r="CO136" s="523">
        <f t="shared" si="235"/>
        <v>0</v>
      </c>
    </row>
    <row r="137" spans="1:93" x14ac:dyDescent="0.2">
      <c r="A137" s="230"/>
      <c r="B137" s="171" t="str">
        <f t="shared" si="236"/>
        <v/>
      </c>
      <c r="C137" s="230"/>
      <c r="D137" s="169"/>
      <c r="E137" s="165"/>
      <c r="F137" s="165"/>
      <c r="G137" s="165"/>
      <c r="H137" s="165"/>
      <c r="I137" s="168"/>
      <c r="J137" s="167"/>
      <c r="K137" s="168"/>
      <c r="L137" s="167"/>
      <c r="M137" s="167"/>
      <c r="N137" s="168"/>
      <c r="O137" s="168"/>
      <c r="P137" s="167"/>
      <c r="Q137" s="167"/>
      <c r="R137" s="167"/>
      <c r="S137" s="222" t="str">
        <f>IF(ISBLANK(A137),"",IF(ISNA(VLOOKUP(I137,Veg_Parameters!$A$3:$N$65,3,FALSE)),0,(VLOOKUP(I137,Veg_Parameters!$A$3:$N$65,3,FALSE))))</f>
        <v/>
      </c>
      <c r="T137" s="222" t="str">
        <f>IF(ISBLANK(N137),"",IF(ISNA(VLOOKUP(N137,Veg_Parameters!$A$3:$N$65,3,FALSE)),0,(VLOOKUP(N137,Veg_Parameters!$A$3:$N$65,3,FALSE))))</f>
        <v/>
      </c>
      <c r="U137" s="523">
        <f t="shared" si="218"/>
        <v>0</v>
      </c>
      <c r="V137" s="523">
        <f t="shared" si="194"/>
        <v>0</v>
      </c>
      <c r="W137" s="524">
        <f>IF(ISBLANK(A137),0,IF(ISNA(VLOOKUP($I137,Veg_Parameters!$A$3:$N$65,10,FALSE)),0,(VLOOKUP($I137,Veg_Parameters!$A$3:$N$65,10,FALSE))))</f>
        <v>0</v>
      </c>
      <c r="X137" s="524">
        <f>IF(ISBLANK(A137),0,IF(ISNA(VLOOKUP($I137,Veg_Parameters!$A$3:$N$65,11,FALSE)),0,(VLOOKUP($I137,Veg_Parameters!$A$3:$N$65,11,FALSE))))</f>
        <v>0</v>
      </c>
      <c r="Y137" s="524">
        <f>IF(ISBLANK(A137),0,IF(ISNA(VLOOKUP($I137,Veg_Parameters!$A$3:$N$65,12,FALSE)),0,(VLOOKUP($I137,Veg_Parameters!$A$3:$N$65,12,FALSE))))</f>
        <v>0</v>
      </c>
      <c r="Z137" s="525">
        <f t="shared" si="195"/>
        <v>0</v>
      </c>
      <c r="AA137" s="525">
        <f t="shared" si="196"/>
        <v>0</v>
      </c>
      <c r="AB137" s="525">
        <f t="shared" si="197"/>
        <v>0</v>
      </c>
      <c r="AC137" s="524">
        <f>IF(ISBLANK(N137),0,IF(ISNA(VLOOKUP($N137,Veg_Parameters!$A$3:$N$65,10,FALSE)),0,(VLOOKUP($N137,Veg_Parameters!$A$3:$N$65,10,FALSE))))</f>
        <v>0</v>
      </c>
      <c r="AD137" s="524">
        <f>IF(ISBLANK(N137),0,IF(ISNA(VLOOKUP($N137,Veg_Parameters!$A$3:$N$65,11,FALSE)),0,(VLOOKUP($N137,Veg_Parameters!$A$3:$N$65,11,FALSE))))</f>
        <v>0</v>
      </c>
      <c r="AE137" s="524">
        <f>IF(ISBLANK(N137), 0, IF(ISNA(VLOOKUP($N137,Veg_Parameters!$A$3:$N$65,12,FALSE)),0,(VLOOKUP($N137,Veg_Parameters!$A$3:$N$65,12,FALSE))))</f>
        <v>0</v>
      </c>
      <c r="AF137" s="523">
        <f t="shared" si="198"/>
        <v>0</v>
      </c>
      <c r="AG137" s="523">
        <f t="shared" si="199"/>
        <v>0</v>
      </c>
      <c r="AH137" s="523">
        <f t="shared" si="200"/>
        <v>0</v>
      </c>
      <c r="AI137" s="526"/>
      <c r="AJ137" s="527">
        <f>AB137*(IF(ISNA(VLOOKUP($I137,Veg_Parameters!$A$3:$N$65,5,FALSE)),0,(VLOOKUP($I137,Veg_Parameters!$A$3:$N$65,5,FALSE))))</f>
        <v>0</v>
      </c>
      <c r="AK137" s="527">
        <f>IF(ISNA(VLOOKUP($I137,Veg_Parameters!$A$3:$N$65,4,FALSE)),0,(VLOOKUP($I137,Veg_Parameters!$A$3:$N$65,4,FALSE)))</f>
        <v>0</v>
      </c>
      <c r="AL137" s="527">
        <f>AB137*(IF(ISNA(VLOOKUP($I137,Veg_Parameters!$A$3:$N$65,7,FALSE)),0, (VLOOKUP($I137,Veg_Parameters!$A$3:$N$65,7,FALSE))))</f>
        <v>0</v>
      </c>
      <c r="AM137" s="528">
        <f>IF(ISNA(VLOOKUP($I137,Veg_Parameters!$A$3:$N$65,6,FALSE)), 0, (VLOOKUP($I137,Veg_Parameters!$A$3:$N$65,6,FALSE)))</f>
        <v>0</v>
      </c>
      <c r="AN137" s="529">
        <f t="shared" si="201"/>
        <v>20</v>
      </c>
      <c r="AO137" s="529">
        <f t="shared" si="202"/>
        <v>0</v>
      </c>
      <c r="AP137" s="529">
        <f t="shared" si="203"/>
        <v>0</v>
      </c>
      <c r="AQ137" s="530">
        <f t="shared" si="219"/>
        <v>0</v>
      </c>
      <c r="AR137" s="527" t="s">
        <v>3</v>
      </c>
      <c r="AS137" s="527">
        <f>IF(ISNA(VLOOKUP($I137,Veg_Parameters!$A$3:$N$65,8,FALSE)), 0, (VLOOKUP($I137,Veg_Parameters!$A$3:$N$65,8,FALSE)))</f>
        <v>0</v>
      </c>
      <c r="AT137" s="527">
        <f>AB137*(IF(ISNA(VLOOKUP($I137,Veg_Parameters!$A$3:$N$65,9,FALSE)), 0, (VLOOKUP($I137,Veg_Parameters!$A$3:$N$65,9,FALSE))))</f>
        <v>0</v>
      </c>
      <c r="AU137" s="527">
        <f>IF(ISBLANK(A137),0,VLOOKUP($I137,Veg_Parameters!$A$4:$U$65,21,))</f>
        <v>0</v>
      </c>
      <c r="AV137" s="527">
        <f t="shared" si="220"/>
        <v>0</v>
      </c>
      <c r="AW137" s="529">
        <f t="shared" si="221"/>
        <v>0</v>
      </c>
      <c r="AX137" s="529">
        <f t="shared" si="222"/>
        <v>0</v>
      </c>
      <c r="AY137" s="529">
        <f t="shared" si="204"/>
        <v>0</v>
      </c>
      <c r="AZ137" s="529">
        <f t="shared" si="223"/>
        <v>0</v>
      </c>
      <c r="BA137" s="529">
        <f t="shared" si="224"/>
        <v>0</v>
      </c>
      <c r="BB137" s="529">
        <f t="shared" si="225"/>
        <v>0</v>
      </c>
      <c r="BC137" s="529">
        <f t="shared" si="205"/>
        <v>0</v>
      </c>
      <c r="BD137" s="531"/>
      <c r="BE137" s="527">
        <f>AH137*(IF(ISNA(VLOOKUP($N137,Veg_Parameters!$A$3:$N$65,5,FALSE)),0,(VLOOKUP($N137,Veg_Parameters!$A$3:$N$65,5,FALSE))))</f>
        <v>0</v>
      </c>
      <c r="BF137" s="527">
        <f>IF(ISNA(VLOOKUP($N137,Veg_Parameters!$A$3:$N$65,4,FALSE)),0,(VLOOKUP($N137,Veg_Parameters!$A$3:$N$65,4,FALSE)))</f>
        <v>0</v>
      </c>
      <c r="BG137" s="527">
        <f>AH137*(IF(ISNA(VLOOKUP($N137,Veg_Parameters!$A$3:$N$65,7,FALSE)),0, (VLOOKUP($N137,Veg_Parameters!$A$3:$N$65,7,FALSE))))</f>
        <v>0</v>
      </c>
      <c r="BH137" s="527">
        <f>IF(ISNA(VLOOKUP($N137,Veg_Parameters!$A$3:$N$65,6,FALSE)), 0, (VLOOKUP($N137,Veg_Parameters!$A$3:$N$65,6,FALSE)))</f>
        <v>0</v>
      </c>
      <c r="BI137" s="529">
        <f t="shared" si="206"/>
        <v>20</v>
      </c>
      <c r="BJ137" s="529">
        <f t="shared" si="226"/>
        <v>0</v>
      </c>
      <c r="BK137" s="529">
        <f t="shared" si="207"/>
        <v>0</v>
      </c>
      <c r="BL137" s="530">
        <f t="shared" si="227"/>
        <v>0</v>
      </c>
      <c r="BM137" s="527" t="s">
        <v>3</v>
      </c>
      <c r="BN137" s="527">
        <f>IF(ISNA(VLOOKUP(N137,Veg_Parameters!$A$3:$N$65,8,FALSE)), 0, (VLOOKUP($N137,Veg_Parameters!$A$3:$N$65,8,FALSE)))</f>
        <v>0</v>
      </c>
      <c r="BO137" s="527">
        <f>AH137*(IF(ISNA(VLOOKUP($N137,Veg_Parameters!$A$3:$N$65,9,FALSE)), 0, (VLOOKUP($N137,Veg_Parameters!$A$3:$N$65,9,FALSE))))</f>
        <v>0</v>
      </c>
      <c r="BP137" s="527" t="str">
        <f>IF(ISBLANK(N137),"0",VLOOKUP($N137,Veg_Parameters!$A$4:$U$65,21,))</f>
        <v>0</v>
      </c>
      <c r="BQ137" s="529">
        <f t="shared" si="228"/>
        <v>0</v>
      </c>
      <c r="BR137" s="529">
        <f t="shared" si="229"/>
        <v>0</v>
      </c>
      <c r="BS137" s="529">
        <f t="shared" si="208"/>
        <v>0</v>
      </c>
      <c r="BT137" s="529">
        <f t="shared" si="230"/>
        <v>0</v>
      </c>
      <c r="BU137" s="529">
        <f t="shared" si="231"/>
        <v>0</v>
      </c>
      <c r="BV137" s="529">
        <f t="shared" si="232"/>
        <v>0</v>
      </c>
      <c r="BW137" s="532" t="str">
        <f t="shared" si="209"/>
        <v/>
      </c>
      <c r="BX137" s="532" t="str">
        <f t="shared" si="210"/>
        <v/>
      </c>
      <c r="BY137" s="532" t="str">
        <f t="shared" si="211"/>
        <v/>
      </c>
      <c r="BZ137" s="532" t="str">
        <f t="shared" si="212"/>
        <v/>
      </c>
      <c r="CA137" s="532">
        <f t="shared" si="213"/>
        <v>0</v>
      </c>
      <c r="CB137" s="533"/>
      <c r="CC137" s="624">
        <f t="shared" si="214"/>
        <v>0</v>
      </c>
      <c r="CD137" s="534">
        <f t="shared" si="215"/>
        <v>0</v>
      </c>
      <c r="CE137" s="534">
        <f t="shared" si="216"/>
        <v>0</v>
      </c>
      <c r="CF137" s="534">
        <f t="shared" si="217"/>
        <v>0</v>
      </c>
      <c r="CG137" s="534"/>
      <c r="CH137" s="534"/>
      <c r="CI137" s="534">
        <f t="shared" si="233"/>
        <v>0</v>
      </c>
      <c r="CL137" s="534">
        <f>IF(ISNA(VLOOKUP(I137,Veg_Parameters!$A$3:$N$65,13,FALSE)),0,(VLOOKUP(I137,Veg_Parameters!$A$3:$N$65,13,FALSE)))</f>
        <v>0</v>
      </c>
      <c r="CM137" s="534">
        <f t="shared" si="234"/>
        <v>0</v>
      </c>
      <c r="CN137" s="534">
        <f>IF(ISNA(VLOOKUP(N137,Veg_Parameters!$A$3:$N$65,13,FALSE)),0,(VLOOKUP(N137,Veg_Parameters!$A$3:$N$65,13,FALSE)))</f>
        <v>0</v>
      </c>
      <c r="CO137" s="523">
        <f t="shared" si="235"/>
        <v>0</v>
      </c>
    </row>
    <row r="138" spans="1:93" x14ac:dyDescent="0.2">
      <c r="A138" s="230"/>
      <c r="B138" s="171" t="str">
        <f t="shared" si="236"/>
        <v/>
      </c>
      <c r="C138" s="230"/>
      <c r="D138" s="169"/>
      <c r="E138" s="165"/>
      <c r="F138" s="165"/>
      <c r="G138" s="165"/>
      <c r="H138" s="165"/>
      <c r="I138" s="168"/>
      <c r="J138" s="167"/>
      <c r="K138" s="168"/>
      <c r="L138" s="167"/>
      <c r="M138" s="167"/>
      <c r="N138" s="168"/>
      <c r="O138" s="168"/>
      <c r="P138" s="167"/>
      <c r="Q138" s="167"/>
      <c r="R138" s="167"/>
      <c r="S138" s="222" t="str">
        <f>IF(ISBLANK(A138),"",IF(ISNA(VLOOKUP(I138,Veg_Parameters!$A$3:$N$65,3,FALSE)),0,(VLOOKUP(I138,Veg_Parameters!$A$3:$N$65,3,FALSE))))</f>
        <v/>
      </c>
      <c r="T138" s="222" t="str">
        <f>IF(ISBLANK(N138),"",IF(ISNA(VLOOKUP(N138,Veg_Parameters!$A$3:$N$65,3,FALSE)),0,(VLOOKUP(N138,Veg_Parameters!$A$3:$N$65,3,FALSE))))</f>
        <v/>
      </c>
      <c r="U138" s="523">
        <f t="shared" si="218"/>
        <v>0</v>
      </c>
      <c r="V138" s="523">
        <f t="shared" si="194"/>
        <v>0</v>
      </c>
      <c r="W138" s="524">
        <f>IF(ISBLANK(A138),0,IF(ISNA(VLOOKUP($I138,Veg_Parameters!$A$3:$N$65,10,FALSE)),0,(VLOOKUP($I138,Veg_Parameters!$A$3:$N$65,10,FALSE))))</f>
        <v>0</v>
      </c>
      <c r="X138" s="524">
        <f>IF(ISBLANK(A138),0,IF(ISNA(VLOOKUP($I138,Veg_Parameters!$A$3:$N$65,11,FALSE)),0,(VLOOKUP($I138,Veg_Parameters!$A$3:$N$65,11,FALSE))))</f>
        <v>0</v>
      </c>
      <c r="Y138" s="524">
        <f>IF(ISBLANK(A138),0,IF(ISNA(VLOOKUP($I138,Veg_Parameters!$A$3:$N$65,12,FALSE)),0,(VLOOKUP($I138,Veg_Parameters!$A$3:$N$65,12,FALSE))))</f>
        <v>0</v>
      </c>
      <c r="Z138" s="525">
        <f t="shared" si="195"/>
        <v>0</v>
      </c>
      <c r="AA138" s="525">
        <f t="shared" si="196"/>
        <v>0</v>
      </c>
      <c r="AB138" s="525">
        <f t="shared" si="197"/>
        <v>0</v>
      </c>
      <c r="AC138" s="524">
        <f>IF(ISBLANK(N138),0,IF(ISNA(VLOOKUP($N138,Veg_Parameters!$A$3:$N$65,10,FALSE)),0,(VLOOKUP($N138,Veg_Parameters!$A$3:$N$65,10,FALSE))))</f>
        <v>0</v>
      </c>
      <c r="AD138" s="524">
        <f>IF(ISBLANK(N138),0,IF(ISNA(VLOOKUP($N138,Veg_Parameters!$A$3:$N$65,11,FALSE)),0,(VLOOKUP($N138,Veg_Parameters!$A$3:$N$65,11,FALSE))))</f>
        <v>0</v>
      </c>
      <c r="AE138" s="524">
        <f>IF(ISBLANK(N138), 0, IF(ISNA(VLOOKUP($N138,Veg_Parameters!$A$3:$N$65,12,FALSE)),0,(VLOOKUP($N138,Veg_Parameters!$A$3:$N$65,12,FALSE))))</f>
        <v>0</v>
      </c>
      <c r="AF138" s="523">
        <f t="shared" si="198"/>
        <v>0</v>
      </c>
      <c r="AG138" s="523">
        <f t="shared" si="199"/>
        <v>0</v>
      </c>
      <c r="AH138" s="523">
        <f t="shared" si="200"/>
        <v>0</v>
      </c>
      <c r="AI138" s="526"/>
      <c r="AJ138" s="527">
        <f>AB138*(IF(ISNA(VLOOKUP($I138,Veg_Parameters!$A$3:$N$65,5,FALSE)),0,(VLOOKUP($I138,Veg_Parameters!$A$3:$N$65,5,FALSE))))</f>
        <v>0</v>
      </c>
      <c r="AK138" s="527">
        <f>IF(ISNA(VLOOKUP($I138,Veg_Parameters!$A$3:$N$65,4,FALSE)),0,(VLOOKUP($I138,Veg_Parameters!$A$3:$N$65,4,FALSE)))</f>
        <v>0</v>
      </c>
      <c r="AL138" s="527">
        <f>AB138*(IF(ISNA(VLOOKUP($I138,Veg_Parameters!$A$3:$N$65,7,FALSE)),0, (VLOOKUP($I138,Veg_Parameters!$A$3:$N$65,7,FALSE))))</f>
        <v>0</v>
      </c>
      <c r="AM138" s="528">
        <f>IF(ISNA(VLOOKUP($I138,Veg_Parameters!$A$3:$N$65,6,FALSE)), 0, (VLOOKUP($I138,Veg_Parameters!$A$3:$N$65,6,FALSE)))</f>
        <v>0</v>
      </c>
      <c r="AN138" s="529">
        <f t="shared" si="201"/>
        <v>20</v>
      </c>
      <c r="AO138" s="529">
        <f t="shared" si="202"/>
        <v>0</v>
      </c>
      <c r="AP138" s="529">
        <f t="shared" si="203"/>
        <v>0</v>
      </c>
      <c r="AQ138" s="530">
        <f t="shared" si="219"/>
        <v>0</v>
      </c>
      <c r="AR138" s="527" t="s">
        <v>3</v>
      </c>
      <c r="AS138" s="527">
        <f>IF(ISNA(VLOOKUP($I138,Veg_Parameters!$A$3:$N$65,8,FALSE)), 0, (VLOOKUP($I138,Veg_Parameters!$A$3:$N$65,8,FALSE)))</f>
        <v>0</v>
      </c>
      <c r="AT138" s="527">
        <f>AB138*(IF(ISNA(VLOOKUP($I138,Veg_Parameters!$A$3:$N$65,9,FALSE)), 0, (VLOOKUP($I138,Veg_Parameters!$A$3:$N$65,9,FALSE))))</f>
        <v>0</v>
      </c>
      <c r="AU138" s="527">
        <f>IF(ISBLANK(A138),0,VLOOKUP($I138,Veg_Parameters!$A$4:$U$65,21,))</f>
        <v>0</v>
      </c>
      <c r="AV138" s="527">
        <f t="shared" si="220"/>
        <v>0</v>
      </c>
      <c r="AW138" s="529">
        <f t="shared" si="221"/>
        <v>0</v>
      </c>
      <c r="AX138" s="529">
        <f t="shared" si="222"/>
        <v>0</v>
      </c>
      <c r="AY138" s="529">
        <f t="shared" si="204"/>
        <v>0</v>
      </c>
      <c r="AZ138" s="529">
        <f t="shared" si="223"/>
        <v>0</v>
      </c>
      <c r="BA138" s="529">
        <f t="shared" si="224"/>
        <v>0</v>
      </c>
      <c r="BB138" s="529">
        <f t="shared" si="225"/>
        <v>0</v>
      </c>
      <c r="BC138" s="529">
        <f t="shared" si="205"/>
        <v>0</v>
      </c>
      <c r="BD138" s="531"/>
      <c r="BE138" s="527">
        <f>AH138*(IF(ISNA(VLOOKUP($N138,Veg_Parameters!$A$3:$N$65,5,FALSE)),0,(VLOOKUP($N138,Veg_Parameters!$A$3:$N$65,5,FALSE))))</f>
        <v>0</v>
      </c>
      <c r="BF138" s="527">
        <f>IF(ISNA(VLOOKUP($N138,Veg_Parameters!$A$3:$N$65,4,FALSE)),0,(VLOOKUP($N138,Veg_Parameters!$A$3:$N$65,4,FALSE)))</f>
        <v>0</v>
      </c>
      <c r="BG138" s="527">
        <f>AH138*(IF(ISNA(VLOOKUP($N138,Veg_Parameters!$A$3:$N$65,7,FALSE)),0, (VLOOKUP($N138,Veg_Parameters!$A$3:$N$65,7,FALSE))))</f>
        <v>0</v>
      </c>
      <c r="BH138" s="527">
        <f>IF(ISNA(VLOOKUP($N138,Veg_Parameters!$A$3:$N$65,6,FALSE)), 0, (VLOOKUP($N138,Veg_Parameters!$A$3:$N$65,6,FALSE)))</f>
        <v>0</v>
      </c>
      <c r="BI138" s="529">
        <f t="shared" si="206"/>
        <v>20</v>
      </c>
      <c r="BJ138" s="529">
        <f t="shared" si="226"/>
        <v>0</v>
      </c>
      <c r="BK138" s="529">
        <f t="shared" si="207"/>
        <v>0</v>
      </c>
      <c r="BL138" s="530">
        <f t="shared" si="227"/>
        <v>0</v>
      </c>
      <c r="BM138" s="527" t="s">
        <v>3</v>
      </c>
      <c r="BN138" s="527">
        <f>IF(ISNA(VLOOKUP(N138,Veg_Parameters!$A$3:$N$65,8,FALSE)), 0, (VLOOKUP($N138,Veg_Parameters!$A$3:$N$65,8,FALSE)))</f>
        <v>0</v>
      </c>
      <c r="BO138" s="527">
        <f>AH138*(IF(ISNA(VLOOKUP($N138,Veg_Parameters!$A$3:$N$65,9,FALSE)), 0, (VLOOKUP($N138,Veg_Parameters!$A$3:$N$65,9,FALSE))))</f>
        <v>0</v>
      </c>
      <c r="BP138" s="527" t="str">
        <f>IF(ISBLANK(N138),"0",VLOOKUP($N138,Veg_Parameters!$A$4:$U$65,21,))</f>
        <v>0</v>
      </c>
      <c r="BQ138" s="529">
        <f t="shared" si="228"/>
        <v>0</v>
      </c>
      <c r="BR138" s="529">
        <f t="shared" si="229"/>
        <v>0</v>
      </c>
      <c r="BS138" s="529">
        <f t="shared" si="208"/>
        <v>0</v>
      </c>
      <c r="BT138" s="529">
        <f t="shared" si="230"/>
        <v>0</v>
      </c>
      <c r="BU138" s="529">
        <f t="shared" si="231"/>
        <v>0</v>
      </c>
      <c r="BV138" s="529">
        <f t="shared" si="232"/>
        <v>0</v>
      </c>
      <c r="BW138" s="532" t="str">
        <f t="shared" si="209"/>
        <v/>
      </c>
      <c r="BX138" s="532" t="str">
        <f t="shared" si="210"/>
        <v/>
      </c>
      <c r="BY138" s="532" t="str">
        <f t="shared" si="211"/>
        <v/>
      </c>
      <c r="BZ138" s="532" t="str">
        <f t="shared" si="212"/>
        <v/>
      </c>
      <c r="CA138" s="532">
        <f t="shared" si="213"/>
        <v>0</v>
      </c>
      <c r="CB138" s="533"/>
      <c r="CC138" s="624">
        <f t="shared" si="214"/>
        <v>0</v>
      </c>
      <c r="CD138" s="534">
        <f t="shared" si="215"/>
        <v>0</v>
      </c>
      <c r="CE138" s="534">
        <f t="shared" si="216"/>
        <v>0</v>
      </c>
      <c r="CF138" s="534">
        <f t="shared" si="217"/>
        <v>0</v>
      </c>
      <c r="CG138" s="534"/>
      <c r="CH138" s="534"/>
      <c r="CI138" s="534">
        <f t="shared" si="233"/>
        <v>0</v>
      </c>
      <c r="CL138" s="534">
        <f>IF(ISNA(VLOOKUP(I138,Veg_Parameters!$A$3:$N$65,13,FALSE)),0,(VLOOKUP(I138,Veg_Parameters!$A$3:$N$65,13,FALSE)))</f>
        <v>0</v>
      </c>
      <c r="CM138" s="534">
        <f t="shared" si="234"/>
        <v>0</v>
      </c>
      <c r="CN138" s="534">
        <f>IF(ISNA(VLOOKUP(N138,Veg_Parameters!$A$3:$N$65,13,FALSE)),0,(VLOOKUP(N138,Veg_Parameters!$A$3:$N$65,13,FALSE)))</f>
        <v>0</v>
      </c>
      <c r="CO138" s="523">
        <f t="shared" si="235"/>
        <v>0</v>
      </c>
    </row>
    <row r="139" spans="1:93" x14ac:dyDescent="0.2">
      <c r="A139" s="230"/>
      <c r="B139" s="171" t="str">
        <f t="shared" si="236"/>
        <v/>
      </c>
      <c r="C139" s="230"/>
      <c r="D139" s="169"/>
      <c r="E139" s="165"/>
      <c r="F139" s="165"/>
      <c r="G139" s="165"/>
      <c r="H139" s="165"/>
      <c r="I139" s="168"/>
      <c r="J139" s="167"/>
      <c r="K139" s="168"/>
      <c r="L139" s="167"/>
      <c r="M139" s="167"/>
      <c r="N139" s="168"/>
      <c r="O139" s="168"/>
      <c r="P139" s="167"/>
      <c r="Q139" s="167"/>
      <c r="R139" s="167"/>
      <c r="S139" s="222" t="str">
        <f>IF(ISBLANK(A139),"",IF(ISNA(VLOOKUP(I139,Veg_Parameters!$A$3:$N$65,3,FALSE)),0,(VLOOKUP(I139,Veg_Parameters!$A$3:$N$65,3,FALSE))))</f>
        <v/>
      </c>
      <c r="T139" s="222" t="str">
        <f>IF(ISBLANK(N139),"",IF(ISNA(VLOOKUP(N139,Veg_Parameters!$A$3:$N$65,3,FALSE)),0,(VLOOKUP(N139,Veg_Parameters!$A$3:$N$65,3,FALSE))))</f>
        <v/>
      </c>
      <c r="U139" s="523">
        <f t="shared" si="218"/>
        <v>0</v>
      </c>
      <c r="V139" s="523">
        <f t="shared" si="194"/>
        <v>0</v>
      </c>
      <c r="W139" s="524">
        <f>IF(ISBLANK(A139),0,IF(ISNA(VLOOKUP($I139,Veg_Parameters!$A$3:$N$65,10,FALSE)),0,(VLOOKUP($I139,Veg_Parameters!$A$3:$N$65,10,FALSE))))</f>
        <v>0</v>
      </c>
      <c r="X139" s="524">
        <f>IF(ISBLANK(A139),0,IF(ISNA(VLOOKUP($I139,Veg_Parameters!$A$3:$N$65,11,FALSE)),0,(VLOOKUP($I139,Veg_Parameters!$A$3:$N$65,11,FALSE))))</f>
        <v>0</v>
      </c>
      <c r="Y139" s="524">
        <f>IF(ISBLANK(A139),0,IF(ISNA(VLOOKUP($I139,Veg_Parameters!$A$3:$N$65,12,FALSE)),0,(VLOOKUP($I139,Veg_Parameters!$A$3:$N$65,12,FALSE))))</f>
        <v>0</v>
      </c>
      <c r="Z139" s="525">
        <f t="shared" si="195"/>
        <v>0</v>
      </c>
      <c r="AA139" s="525">
        <f t="shared" si="196"/>
        <v>0</v>
      </c>
      <c r="AB139" s="525">
        <f t="shared" si="197"/>
        <v>0</v>
      </c>
      <c r="AC139" s="524">
        <f>IF(ISBLANK(N139),0,IF(ISNA(VLOOKUP($N139,Veg_Parameters!$A$3:$N$65,10,FALSE)),0,(VLOOKUP($N139,Veg_Parameters!$A$3:$N$65,10,FALSE))))</f>
        <v>0</v>
      </c>
      <c r="AD139" s="524">
        <f>IF(ISBLANK(N139),0,IF(ISNA(VLOOKUP($N139,Veg_Parameters!$A$3:$N$65,11,FALSE)),0,(VLOOKUP($N139,Veg_Parameters!$A$3:$N$65,11,FALSE))))</f>
        <v>0</v>
      </c>
      <c r="AE139" s="524">
        <f>IF(ISBLANK(N139), 0, IF(ISNA(VLOOKUP($N139,Veg_Parameters!$A$3:$N$65,12,FALSE)),0,(VLOOKUP($N139,Veg_Parameters!$A$3:$N$65,12,FALSE))))</f>
        <v>0</v>
      </c>
      <c r="AF139" s="523">
        <f t="shared" si="198"/>
        <v>0</v>
      </c>
      <c r="AG139" s="523">
        <f t="shared" si="199"/>
        <v>0</v>
      </c>
      <c r="AH139" s="523">
        <f t="shared" si="200"/>
        <v>0</v>
      </c>
      <c r="AI139" s="526"/>
      <c r="AJ139" s="527">
        <f>AB139*(IF(ISNA(VLOOKUP($I139,Veg_Parameters!$A$3:$N$65,5,FALSE)),0,(VLOOKUP($I139,Veg_Parameters!$A$3:$N$65,5,FALSE))))</f>
        <v>0</v>
      </c>
      <c r="AK139" s="527">
        <f>IF(ISNA(VLOOKUP($I139,Veg_Parameters!$A$3:$N$65,4,FALSE)),0,(VLOOKUP($I139,Veg_Parameters!$A$3:$N$65,4,FALSE)))</f>
        <v>0</v>
      </c>
      <c r="AL139" s="527">
        <f>AB139*(IF(ISNA(VLOOKUP($I139,Veg_Parameters!$A$3:$N$65,7,FALSE)),0, (VLOOKUP($I139,Veg_Parameters!$A$3:$N$65,7,FALSE))))</f>
        <v>0</v>
      </c>
      <c r="AM139" s="528">
        <f>IF(ISNA(VLOOKUP($I139,Veg_Parameters!$A$3:$N$65,6,FALSE)), 0, (VLOOKUP($I139,Veg_Parameters!$A$3:$N$65,6,FALSE)))</f>
        <v>0</v>
      </c>
      <c r="AN139" s="529">
        <f t="shared" si="201"/>
        <v>20</v>
      </c>
      <c r="AO139" s="529">
        <f t="shared" si="202"/>
        <v>0</v>
      </c>
      <c r="AP139" s="529">
        <f t="shared" si="203"/>
        <v>0</v>
      </c>
      <c r="AQ139" s="530">
        <f t="shared" si="219"/>
        <v>0</v>
      </c>
      <c r="AR139" s="527" t="s">
        <v>3</v>
      </c>
      <c r="AS139" s="527">
        <f>IF(ISNA(VLOOKUP($I139,Veg_Parameters!$A$3:$N$65,8,FALSE)), 0, (VLOOKUP($I139,Veg_Parameters!$A$3:$N$65,8,FALSE)))</f>
        <v>0</v>
      </c>
      <c r="AT139" s="527">
        <f>AB139*(IF(ISNA(VLOOKUP($I139,Veg_Parameters!$A$3:$N$65,9,FALSE)), 0, (VLOOKUP($I139,Veg_Parameters!$A$3:$N$65,9,FALSE))))</f>
        <v>0</v>
      </c>
      <c r="AU139" s="527">
        <f>IF(ISBLANK(A139),0,VLOOKUP($I139,Veg_Parameters!$A$4:$U$65,21,))</f>
        <v>0</v>
      </c>
      <c r="AV139" s="527">
        <f t="shared" si="220"/>
        <v>0</v>
      </c>
      <c r="AW139" s="529">
        <f t="shared" si="221"/>
        <v>0</v>
      </c>
      <c r="AX139" s="529">
        <f t="shared" si="222"/>
        <v>0</v>
      </c>
      <c r="AY139" s="529">
        <f t="shared" si="204"/>
        <v>0</v>
      </c>
      <c r="AZ139" s="529">
        <f t="shared" si="223"/>
        <v>0</v>
      </c>
      <c r="BA139" s="529">
        <f t="shared" si="224"/>
        <v>0</v>
      </c>
      <c r="BB139" s="529">
        <f t="shared" si="225"/>
        <v>0</v>
      </c>
      <c r="BC139" s="529">
        <f t="shared" si="205"/>
        <v>0</v>
      </c>
      <c r="BD139" s="531"/>
      <c r="BE139" s="527">
        <f>AH139*(IF(ISNA(VLOOKUP($N139,Veg_Parameters!$A$3:$N$65,5,FALSE)),0,(VLOOKUP($N139,Veg_Parameters!$A$3:$N$65,5,FALSE))))</f>
        <v>0</v>
      </c>
      <c r="BF139" s="527">
        <f>IF(ISNA(VLOOKUP($N139,Veg_Parameters!$A$3:$N$65,4,FALSE)),0,(VLOOKUP($N139,Veg_Parameters!$A$3:$N$65,4,FALSE)))</f>
        <v>0</v>
      </c>
      <c r="BG139" s="527">
        <f>AH139*(IF(ISNA(VLOOKUP($N139,Veg_Parameters!$A$3:$N$65,7,FALSE)),0, (VLOOKUP($N139,Veg_Parameters!$A$3:$N$65,7,FALSE))))</f>
        <v>0</v>
      </c>
      <c r="BH139" s="527">
        <f>IF(ISNA(VLOOKUP($N139,Veg_Parameters!$A$3:$N$65,6,FALSE)), 0, (VLOOKUP($N139,Veg_Parameters!$A$3:$N$65,6,FALSE)))</f>
        <v>0</v>
      </c>
      <c r="BI139" s="529">
        <f t="shared" si="206"/>
        <v>20</v>
      </c>
      <c r="BJ139" s="529">
        <f t="shared" si="226"/>
        <v>0</v>
      </c>
      <c r="BK139" s="529">
        <f t="shared" si="207"/>
        <v>0</v>
      </c>
      <c r="BL139" s="530">
        <f t="shared" si="227"/>
        <v>0</v>
      </c>
      <c r="BM139" s="527" t="s">
        <v>3</v>
      </c>
      <c r="BN139" s="527">
        <f>IF(ISNA(VLOOKUP(N139,Veg_Parameters!$A$3:$N$65,8,FALSE)), 0, (VLOOKUP($N139,Veg_Parameters!$A$3:$N$65,8,FALSE)))</f>
        <v>0</v>
      </c>
      <c r="BO139" s="527">
        <f>AH139*(IF(ISNA(VLOOKUP($N139,Veg_Parameters!$A$3:$N$65,9,FALSE)), 0, (VLOOKUP($N139,Veg_Parameters!$A$3:$N$65,9,FALSE))))</f>
        <v>0</v>
      </c>
      <c r="BP139" s="527" t="str">
        <f>IF(ISBLANK(N139),"0",VLOOKUP($N139,Veg_Parameters!$A$4:$U$65,21,))</f>
        <v>0</v>
      </c>
      <c r="BQ139" s="529">
        <f t="shared" si="228"/>
        <v>0</v>
      </c>
      <c r="BR139" s="529">
        <f t="shared" si="229"/>
        <v>0</v>
      </c>
      <c r="BS139" s="529">
        <f t="shared" si="208"/>
        <v>0</v>
      </c>
      <c r="BT139" s="529">
        <f t="shared" si="230"/>
        <v>0</v>
      </c>
      <c r="BU139" s="529">
        <f t="shared" si="231"/>
        <v>0</v>
      </c>
      <c r="BV139" s="529">
        <f t="shared" si="232"/>
        <v>0</v>
      </c>
      <c r="BW139" s="532" t="str">
        <f t="shared" si="209"/>
        <v/>
      </c>
      <c r="BX139" s="532" t="str">
        <f t="shared" si="210"/>
        <v/>
      </c>
      <c r="BY139" s="532" t="str">
        <f t="shared" si="211"/>
        <v/>
      </c>
      <c r="BZ139" s="532" t="str">
        <f t="shared" si="212"/>
        <v/>
      </c>
      <c r="CA139" s="532">
        <f t="shared" si="213"/>
        <v>0</v>
      </c>
      <c r="CB139" s="533"/>
      <c r="CC139" s="624">
        <f t="shared" si="214"/>
        <v>0</v>
      </c>
      <c r="CD139" s="534">
        <f t="shared" si="215"/>
        <v>0</v>
      </c>
      <c r="CE139" s="534">
        <f t="shared" si="216"/>
        <v>0</v>
      </c>
      <c r="CF139" s="534">
        <f t="shared" si="217"/>
        <v>0</v>
      </c>
      <c r="CG139" s="534"/>
      <c r="CH139" s="534"/>
      <c r="CI139" s="534">
        <f t="shared" si="233"/>
        <v>0</v>
      </c>
      <c r="CL139" s="534">
        <f>IF(ISNA(VLOOKUP(I139,Veg_Parameters!$A$3:$N$65,13,FALSE)),0,(VLOOKUP(I139,Veg_Parameters!$A$3:$N$65,13,FALSE)))</f>
        <v>0</v>
      </c>
      <c r="CM139" s="534">
        <f t="shared" si="234"/>
        <v>0</v>
      </c>
      <c r="CN139" s="534">
        <f>IF(ISNA(VLOOKUP(N139,Veg_Parameters!$A$3:$N$65,13,FALSE)),0,(VLOOKUP(N139,Veg_Parameters!$A$3:$N$65,13,FALSE)))</f>
        <v>0</v>
      </c>
      <c r="CO139" s="523">
        <f t="shared" si="235"/>
        <v>0</v>
      </c>
    </row>
    <row r="140" spans="1:93" x14ac:dyDescent="0.2">
      <c r="A140" s="227"/>
      <c r="B140" s="171" t="str">
        <f t="shared" si="236"/>
        <v/>
      </c>
      <c r="C140" s="230"/>
      <c r="D140" s="169"/>
      <c r="E140" s="165"/>
      <c r="F140" s="165"/>
      <c r="G140" s="165"/>
      <c r="H140" s="165"/>
      <c r="I140" s="168"/>
      <c r="J140" s="167"/>
      <c r="K140" s="168"/>
      <c r="L140" s="167"/>
      <c r="M140" s="167"/>
      <c r="N140" s="168"/>
      <c r="O140" s="168"/>
      <c r="P140" s="167"/>
      <c r="Q140" s="167"/>
      <c r="R140" s="167"/>
      <c r="S140" s="222" t="str">
        <f>IF(ISBLANK(A140),"",IF(ISNA(VLOOKUP(I140,Veg_Parameters!$A$3:$N$65,3,FALSE)),0,(VLOOKUP(I140,Veg_Parameters!$A$3:$N$65,3,FALSE))))</f>
        <v/>
      </c>
      <c r="T140" s="222" t="str">
        <f>IF(ISBLANK(N140),"",IF(ISNA(VLOOKUP(N140,Veg_Parameters!$A$3:$N$65,3,FALSE)),0,(VLOOKUP(N140,Veg_Parameters!$A$3:$N$65,3,FALSE))))</f>
        <v/>
      </c>
      <c r="U140" s="523">
        <f t="shared" si="218"/>
        <v>0</v>
      </c>
      <c r="V140" s="523">
        <f t="shared" si="194"/>
        <v>0</v>
      </c>
      <c r="W140" s="524">
        <f>IF(ISBLANK(A140),0,IF(ISNA(VLOOKUP($I140,Veg_Parameters!$A$3:$N$65,10,FALSE)),0,(VLOOKUP($I140,Veg_Parameters!$A$3:$N$65,10,FALSE))))</f>
        <v>0</v>
      </c>
      <c r="X140" s="524">
        <f>IF(ISBLANK(A140),0,IF(ISNA(VLOOKUP($I140,Veg_Parameters!$A$3:$N$65,11,FALSE)),0,(VLOOKUP($I140,Veg_Parameters!$A$3:$N$65,11,FALSE))))</f>
        <v>0</v>
      </c>
      <c r="Y140" s="524">
        <f>IF(ISBLANK(A140),0,IF(ISNA(VLOOKUP($I140,Veg_Parameters!$A$3:$N$65,12,FALSE)),0,(VLOOKUP($I140,Veg_Parameters!$A$3:$N$65,12,FALSE))))</f>
        <v>0</v>
      </c>
      <c r="Z140" s="525">
        <f t="shared" si="195"/>
        <v>0</v>
      </c>
      <c r="AA140" s="525">
        <f t="shared" si="196"/>
        <v>0</v>
      </c>
      <c r="AB140" s="525">
        <f t="shared" si="197"/>
        <v>0</v>
      </c>
      <c r="AC140" s="524">
        <f>IF(ISBLANK(N140),0,IF(ISNA(VLOOKUP($N140,Veg_Parameters!$A$3:$N$65,10,FALSE)),0,(VLOOKUP($N140,Veg_Parameters!$A$3:$N$65,10,FALSE))))</f>
        <v>0</v>
      </c>
      <c r="AD140" s="524">
        <f>IF(ISBLANK(N140),0,IF(ISNA(VLOOKUP($N140,Veg_Parameters!$A$3:$N$65,11,FALSE)),0,(VLOOKUP($N140,Veg_Parameters!$A$3:$N$65,11,FALSE))))</f>
        <v>0</v>
      </c>
      <c r="AE140" s="524">
        <f>IF(ISBLANK(N140), 0, IF(ISNA(VLOOKUP($N140,Veg_Parameters!$A$3:$N$65,12,FALSE)),0,(VLOOKUP($N140,Veg_Parameters!$A$3:$N$65,12,FALSE))))</f>
        <v>0</v>
      </c>
      <c r="AF140" s="523">
        <f t="shared" si="198"/>
        <v>0</v>
      </c>
      <c r="AG140" s="523">
        <f t="shared" si="199"/>
        <v>0</v>
      </c>
      <c r="AH140" s="523">
        <f t="shared" si="200"/>
        <v>0</v>
      </c>
      <c r="AI140" s="526"/>
      <c r="AJ140" s="527">
        <f>AB140*(IF(ISNA(VLOOKUP($I140,Veg_Parameters!$A$3:$N$65,5,FALSE)),0,(VLOOKUP($I140,Veg_Parameters!$A$3:$N$65,5,FALSE))))</f>
        <v>0</v>
      </c>
      <c r="AK140" s="527">
        <f>IF(ISNA(VLOOKUP($I140,Veg_Parameters!$A$3:$N$65,4,FALSE)),0,(VLOOKUP($I140,Veg_Parameters!$A$3:$N$65,4,FALSE)))</f>
        <v>0</v>
      </c>
      <c r="AL140" s="527">
        <f>AB140*(IF(ISNA(VLOOKUP($I140,Veg_Parameters!$A$3:$N$65,7,FALSE)),0, (VLOOKUP($I140,Veg_Parameters!$A$3:$N$65,7,FALSE))))</f>
        <v>0</v>
      </c>
      <c r="AM140" s="528">
        <f>IF(ISNA(VLOOKUP($I140,Veg_Parameters!$A$3:$N$65,6,FALSE)), 0, (VLOOKUP($I140,Veg_Parameters!$A$3:$N$65,6,FALSE)))</f>
        <v>0</v>
      </c>
      <c r="AN140" s="529">
        <f t="shared" si="201"/>
        <v>20</v>
      </c>
      <c r="AO140" s="529">
        <f t="shared" si="202"/>
        <v>0</v>
      </c>
      <c r="AP140" s="529">
        <f t="shared" si="203"/>
        <v>0</v>
      </c>
      <c r="AQ140" s="530">
        <f t="shared" si="219"/>
        <v>0</v>
      </c>
      <c r="AR140" s="527" t="s">
        <v>3</v>
      </c>
      <c r="AS140" s="527">
        <f>IF(ISNA(VLOOKUP($I140,Veg_Parameters!$A$3:$N$65,8,FALSE)), 0, (VLOOKUP($I140,Veg_Parameters!$A$3:$N$65,8,FALSE)))</f>
        <v>0</v>
      </c>
      <c r="AT140" s="527">
        <f>AB140*(IF(ISNA(VLOOKUP($I140,Veg_Parameters!$A$3:$N$65,9,FALSE)), 0, (VLOOKUP($I140,Veg_Parameters!$A$3:$N$65,9,FALSE))))</f>
        <v>0</v>
      </c>
      <c r="AU140" s="527">
        <f>IF(ISBLANK(A140),0,VLOOKUP($I140,Veg_Parameters!$A$4:$U$65,21,))</f>
        <v>0</v>
      </c>
      <c r="AV140" s="527">
        <f t="shared" si="220"/>
        <v>0</v>
      </c>
      <c r="AW140" s="529">
        <f t="shared" si="221"/>
        <v>0</v>
      </c>
      <c r="AX140" s="529">
        <f t="shared" si="222"/>
        <v>0</v>
      </c>
      <c r="AY140" s="529">
        <f t="shared" si="204"/>
        <v>0</v>
      </c>
      <c r="AZ140" s="529">
        <f t="shared" si="223"/>
        <v>0</v>
      </c>
      <c r="BA140" s="529">
        <f t="shared" si="224"/>
        <v>0</v>
      </c>
      <c r="BB140" s="529">
        <f t="shared" si="225"/>
        <v>0</v>
      </c>
      <c r="BC140" s="529">
        <f t="shared" si="205"/>
        <v>0</v>
      </c>
      <c r="BD140" s="531"/>
      <c r="BE140" s="527">
        <f>AH140*(IF(ISNA(VLOOKUP($N140,Veg_Parameters!$A$3:$N$65,5,FALSE)),0,(VLOOKUP($N140,Veg_Parameters!$A$3:$N$65,5,FALSE))))</f>
        <v>0</v>
      </c>
      <c r="BF140" s="527">
        <f>IF(ISNA(VLOOKUP($N140,Veg_Parameters!$A$3:$N$65,4,FALSE)),0,(VLOOKUP($N140,Veg_Parameters!$A$3:$N$65,4,FALSE)))</f>
        <v>0</v>
      </c>
      <c r="BG140" s="527">
        <f>AH140*(IF(ISNA(VLOOKUP($N140,Veg_Parameters!$A$3:$N$65,7,FALSE)),0, (VLOOKUP($N140,Veg_Parameters!$A$3:$N$65,7,FALSE))))</f>
        <v>0</v>
      </c>
      <c r="BH140" s="527">
        <f>IF(ISNA(VLOOKUP($N140,Veg_Parameters!$A$3:$N$65,6,FALSE)), 0, (VLOOKUP($N140,Veg_Parameters!$A$3:$N$65,6,FALSE)))</f>
        <v>0</v>
      </c>
      <c r="BI140" s="529">
        <f t="shared" si="206"/>
        <v>20</v>
      </c>
      <c r="BJ140" s="529">
        <f t="shared" si="226"/>
        <v>0</v>
      </c>
      <c r="BK140" s="529">
        <f t="shared" si="207"/>
        <v>0</v>
      </c>
      <c r="BL140" s="530">
        <f t="shared" si="227"/>
        <v>0</v>
      </c>
      <c r="BM140" s="527" t="s">
        <v>3</v>
      </c>
      <c r="BN140" s="527">
        <f>IF(ISNA(VLOOKUP(N140,Veg_Parameters!$A$3:$N$65,8,FALSE)), 0, (VLOOKUP($N140,Veg_Parameters!$A$3:$N$65,8,FALSE)))</f>
        <v>0</v>
      </c>
      <c r="BO140" s="527">
        <f>AH140*(IF(ISNA(VLOOKUP($N140,Veg_Parameters!$A$3:$N$65,9,FALSE)), 0, (VLOOKUP($N140,Veg_Parameters!$A$3:$N$65,9,FALSE))))</f>
        <v>0</v>
      </c>
      <c r="BP140" s="527" t="str">
        <f>IF(ISBLANK(N140),"0",VLOOKUP($N140,Veg_Parameters!$A$4:$U$65,21,))</f>
        <v>0</v>
      </c>
      <c r="BQ140" s="529">
        <f t="shared" si="228"/>
        <v>0</v>
      </c>
      <c r="BR140" s="529">
        <f t="shared" si="229"/>
        <v>0</v>
      </c>
      <c r="BS140" s="529">
        <f t="shared" si="208"/>
        <v>0</v>
      </c>
      <c r="BT140" s="529">
        <f t="shared" si="230"/>
        <v>0</v>
      </c>
      <c r="BU140" s="529">
        <f t="shared" si="231"/>
        <v>0</v>
      </c>
      <c r="BV140" s="529">
        <f t="shared" si="232"/>
        <v>0</v>
      </c>
      <c r="BW140" s="532" t="str">
        <f t="shared" si="209"/>
        <v/>
      </c>
      <c r="BX140" s="532" t="str">
        <f t="shared" si="210"/>
        <v/>
      </c>
      <c r="BY140" s="532" t="str">
        <f t="shared" si="211"/>
        <v/>
      </c>
      <c r="BZ140" s="532" t="str">
        <f t="shared" si="212"/>
        <v/>
      </c>
      <c r="CA140" s="532">
        <f t="shared" si="213"/>
        <v>0</v>
      </c>
      <c r="CB140" s="533"/>
      <c r="CC140" s="624">
        <f t="shared" si="214"/>
        <v>0</v>
      </c>
      <c r="CD140" s="534">
        <f t="shared" si="215"/>
        <v>0</v>
      </c>
      <c r="CE140" s="534">
        <f t="shared" si="216"/>
        <v>0</v>
      </c>
      <c r="CF140" s="534">
        <f t="shared" si="217"/>
        <v>0</v>
      </c>
      <c r="CG140" s="534"/>
      <c r="CH140" s="534"/>
      <c r="CI140" s="534">
        <f t="shared" si="233"/>
        <v>0</v>
      </c>
      <c r="CL140" s="534">
        <f>IF(ISNA(VLOOKUP(I140,Veg_Parameters!$A$3:$N$65,13,FALSE)),0,(VLOOKUP(I140,Veg_Parameters!$A$3:$N$65,13,FALSE)))</f>
        <v>0</v>
      </c>
      <c r="CM140" s="534">
        <f t="shared" si="234"/>
        <v>0</v>
      </c>
      <c r="CN140" s="534">
        <f>IF(ISNA(VLOOKUP(N140,Veg_Parameters!$A$3:$N$65,13,FALSE)),0,(VLOOKUP(N140,Veg_Parameters!$A$3:$N$65,13,FALSE)))</f>
        <v>0</v>
      </c>
      <c r="CO140" s="523">
        <f t="shared" si="235"/>
        <v>0</v>
      </c>
    </row>
    <row r="141" spans="1:93" x14ac:dyDescent="0.2">
      <c r="A141" s="227"/>
      <c r="B141" s="171" t="str">
        <f t="shared" si="236"/>
        <v/>
      </c>
      <c r="C141" s="230"/>
      <c r="D141" s="169"/>
      <c r="E141" s="165"/>
      <c r="F141" s="165"/>
      <c r="G141" s="165"/>
      <c r="H141" s="165"/>
      <c r="I141" s="168"/>
      <c r="J141" s="167"/>
      <c r="K141" s="168"/>
      <c r="L141" s="167"/>
      <c r="M141" s="167"/>
      <c r="N141" s="168"/>
      <c r="O141" s="168"/>
      <c r="P141" s="167"/>
      <c r="Q141" s="167"/>
      <c r="R141" s="167"/>
      <c r="S141" s="222" t="str">
        <f>IF(ISBLANK(A141),"",IF(ISNA(VLOOKUP(I141,Veg_Parameters!$A$3:$N$65,3,FALSE)),0,(VLOOKUP(I141,Veg_Parameters!$A$3:$N$65,3,FALSE))))</f>
        <v/>
      </c>
      <c r="T141" s="222" t="str">
        <f>IF(ISBLANK(N141),"",IF(ISNA(VLOOKUP(N141,Veg_Parameters!$A$3:$N$65,3,FALSE)),0,(VLOOKUP(N141,Veg_Parameters!$A$3:$N$65,3,FALSE))))</f>
        <v/>
      </c>
      <c r="U141" s="523">
        <f t="shared" si="218"/>
        <v>0</v>
      </c>
      <c r="V141" s="523">
        <f t="shared" si="194"/>
        <v>0</v>
      </c>
      <c r="W141" s="524">
        <f>IF(ISBLANK(A141),0,IF(ISNA(VLOOKUP($I141,Veg_Parameters!$A$3:$N$65,10,FALSE)),0,(VLOOKUP($I141,Veg_Parameters!$A$3:$N$65,10,FALSE))))</f>
        <v>0</v>
      </c>
      <c r="X141" s="524">
        <f>IF(ISBLANK(A141),0,IF(ISNA(VLOOKUP($I141,Veg_Parameters!$A$3:$N$65,11,FALSE)),0,(VLOOKUP($I141,Veg_Parameters!$A$3:$N$65,11,FALSE))))</f>
        <v>0</v>
      </c>
      <c r="Y141" s="524">
        <f>IF(ISBLANK(A141),0,IF(ISNA(VLOOKUP($I141,Veg_Parameters!$A$3:$N$65,12,FALSE)),0,(VLOOKUP($I141,Veg_Parameters!$A$3:$N$65,12,FALSE))))</f>
        <v>0</v>
      </c>
      <c r="Z141" s="525">
        <f t="shared" si="195"/>
        <v>0</v>
      </c>
      <c r="AA141" s="525">
        <f t="shared" si="196"/>
        <v>0</v>
      </c>
      <c r="AB141" s="525">
        <f t="shared" si="197"/>
        <v>0</v>
      </c>
      <c r="AC141" s="524">
        <f>IF(ISBLANK(N141),0,IF(ISNA(VLOOKUP($N141,Veg_Parameters!$A$3:$N$65,10,FALSE)),0,(VLOOKUP($N141,Veg_Parameters!$A$3:$N$65,10,FALSE))))</f>
        <v>0</v>
      </c>
      <c r="AD141" s="524">
        <f>IF(ISBLANK(N141),0,IF(ISNA(VLOOKUP($N141,Veg_Parameters!$A$3:$N$65,11,FALSE)),0,(VLOOKUP($N141,Veg_Parameters!$A$3:$N$65,11,FALSE))))</f>
        <v>0</v>
      </c>
      <c r="AE141" s="524">
        <f>IF(ISBLANK(N141), 0, IF(ISNA(VLOOKUP($N141,Veg_Parameters!$A$3:$N$65,12,FALSE)),0,(VLOOKUP($N141,Veg_Parameters!$A$3:$N$65,12,FALSE))))</f>
        <v>0</v>
      </c>
      <c r="AF141" s="523">
        <f t="shared" si="198"/>
        <v>0</v>
      </c>
      <c r="AG141" s="523">
        <f t="shared" si="199"/>
        <v>0</v>
      </c>
      <c r="AH141" s="523">
        <f t="shared" si="200"/>
        <v>0</v>
      </c>
      <c r="AI141" s="526"/>
      <c r="AJ141" s="527">
        <f>AB141*(IF(ISNA(VLOOKUP($I141,Veg_Parameters!$A$3:$N$65,5,FALSE)),0,(VLOOKUP($I141,Veg_Parameters!$A$3:$N$65,5,FALSE))))</f>
        <v>0</v>
      </c>
      <c r="AK141" s="527">
        <f>IF(ISNA(VLOOKUP($I141,Veg_Parameters!$A$3:$N$65,4,FALSE)),0,(VLOOKUP($I141,Veg_Parameters!$A$3:$N$65,4,FALSE)))</f>
        <v>0</v>
      </c>
      <c r="AL141" s="527">
        <f>AB141*(IF(ISNA(VLOOKUP($I141,Veg_Parameters!$A$3:$N$65,7,FALSE)),0, (VLOOKUP($I141,Veg_Parameters!$A$3:$N$65,7,FALSE))))</f>
        <v>0</v>
      </c>
      <c r="AM141" s="528">
        <f>IF(ISNA(VLOOKUP($I141,Veg_Parameters!$A$3:$N$65,6,FALSE)), 0, (VLOOKUP($I141,Veg_Parameters!$A$3:$N$65,6,FALSE)))</f>
        <v>0</v>
      </c>
      <c r="AN141" s="529">
        <f t="shared" si="201"/>
        <v>20</v>
      </c>
      <c r="AO141" s="529">
        <f t="shared" si="202"/>
        <v>0</v>
      </c>
      <c r="AP141" s="529">
        <f t="shared" si="203"/>
        <v>0</v>
      </c>
      <c r="AQ141" s="530">
        <f t="shared" si="219"/>
        <v>0</v>
      </c>
      <c r="AR141" s="527" t="s">
        <v>3</v>
      </c>
      <c r="AS141" s="527">
        <f>IF(ISNA(VLOOKUP($I141,Veg_Parameters!$A$3:$N$65,8,FALSE)), 0, (VLOOKUP($I141,Veg_Parameters!$A$3:$N$65,8,FALSE)))</f>
        <v>0</v>
      </c>
      <c r="AT141" s="527">
        <f>AB141*(IF(ISNA(VLOOKUP($I141,Veg_Parameters!$A$3:$N$65,9,FALSE)), 0, (VLOOKUP($I141,Veg_Parameters!$A$3:$N$65,9,FALSE))))</f>
        <v>0</v>
      </c>
      <c r="AU141" s="527">
        <f>IF(ISBLANK(A141),0,VLOOKUP($I141,Veg_Parameters!$A$4:$U$65,21,))</f>
        <v>0</v>
      </c>
      <c r="AV141" s="527">
        <f t="shared" si="220"/>
        <v>0</v>
      </c>
      <c r="AW141" s="529">
        <f t="shared" si="221"/>
        <v>0</v>
      </c>
      <c r="AX141" s="529">
        <f t="shared" si="222"/>
        <v>0</v>
      </c>
      <c r="AY141" s="529">
        <f t="shared" si="204"/>
        <v>0</v>
      </c>
      <c r="AZ141" s="529">
        <f t="shared" si="223"/>
        <v>0</v>
      </c>
      <c r="BA141" s="529">
        <f t="shared" si="224"/>
        <v>0</v>
      </c>
      <c r="BB141" s="529">
        <f t="shared" si="225"/>
        <v>0</v>
      </c>
      <c r="BC141" s="529">
        <f t="shared" si="205"/>
        <v>0</v>
      </c>
      <c r="BD141" s="531"/>
      <c r="BE141" s="527">
        <f>AH141*(IF(ISNA(VLOOKUP($N141,Veg_Parameters!$A$3:$N$65,5,FALSE)),0,(VLOOKUP($N141,Veg_Parameters!$A$3:$N$65,5,FALSE))))</f>
        <v>0</v>
      </c>
      <c r="BF141" s="527">
        <f>IF(ISNA(VLOOKUP($N141,Veg_Parameters!$A$3:$N$65,4,FALSE)),0,(VLOOKUP($N141,Veg_Parameters!$A$3:$N$65,4,FALSE)))</f>
        <v>0</v>
      </c>
      <c r="BG141" s="527">
        <f>AH141*(IF(ISNA(VLOOKUP($N141,Veg_Parameters!$A$3:$N$65,7,FALSE)),0, (VLOOKUP($N141,Veg_Parameters!$A$3:$N$65,7,FALSE))))</f>
        <v>0</v>
      </c>
      <c r="BH141" s="527">
        <f>IF(ISNA(VLOOKUP($N141,Veg_Parameters!$A$3:$N$65,6,FALSE)), 0, (VLOOKUP($N141,Veg_Parameters!$A$3:$N$65,6,FALSE)))</f>
        <v>0</v>
      </c>
      <c r="BI141" s="529">
        <f t="shared" si="206"/>
        <v>20</v>
      </c>
      <c r="BJ141" s="529">
        <f t="shared" si="226"/>
        <v>0</v>
      </c>
      <c r="BK141" s="529">
        <f t="shared" si="207"/>
        <v>0</v>
      </c>
      <c r="BL141" s="530">
        <f t="shared" si="227"/>
        <v>0</v>
      </c>
      <c r="BM141" s="527" t="s">
        <v>3</v>
      </c>
      <c r="BN141" s="527">
        <f>IF(ISNA(VLOOKUP(N141,Veg_Parameters!$A$3:$N$65,8,FALSE)), 0, (VLOOKUP($N141,Veg_Parameters!$A$3:$N$65,8,FALSE)))</f>
        <v>0</v>
      </c>
      <c r="BO141" s="527">
        <f>AH141*(IF(ISNA(VLOOKUP($N141,Veg_Parameters!$A$3:$N$65,9,FALSE)), 0, (VLOOKUP($N141,Veg_Parameters!$A$3:$N$65,9,FALSE))))</f>
        <v>0</v>
      </c>
      <c r="BP141" s="527" t="str">
        <f>IF(ISBLANK(N141),"0",VLOOKUP($N141,Veg_Parameters!$A$4:$U$65,21,))</f>
        <v>0</v>
      </c>
      <c r="BQ141" s="529">
        <f t="shared" si="228"/>
        <v>0</v>
      </c>
      <c r="BR141" s="529">
        <f t="shared" si="229"/>
        <v>0</v>
      </c>
      <c r="BS141" s="529">
        <f t="shared" si="208"/>
        <v>0</v>
      </c>
      <c r="BT141" s="529">
        <f t="shared" si="230"/>
        <v>0</v>
      </c>
      <c r="BU141" s="529">
        <f t="shared" si="231"/>
        <v>0</v>
      </c>
      <c r="BV141" s="529">
        <f t="shared" si="232"/>
        <v>0</v>
      </c>
      <c r="BW141" s="532" t="str">
        <f t="shared" si="209"/>
        <v/>
      </c>
      <c r="BX141" s="532" t="str">
        <f t="shared" si="210"/>
        <v/>
      </c>
      <c r="BY141" s="532" t="str">
        <f t="shared" si="211"/>
        <v/>
      </c>
      <c r="BZ141" s="532" t="str">
        <f t="shared" si="212"/>
        <v/>
      </c>
      <c r="CA141" s="532">
        <f t="shared" si="213"/>
        <v>0</v>
      </c>
      <c r="CB141" s="533"/>
      <c r="CC141" s="624">
        <f t="shared" si="214"/>
        <v>0</v>
      </c>
      <c r="CD141" s="534">
        <f t="shared" si="215"/>
        <v>0</v>
      </c>
      <c r="CE141" s="534">
        <f t="shared" si="216"/>
        <v>0</v>
      </c>
      <c r="CF141" s="534">
        <f t="shared" si="217"/>
        <v>0</v>
      </c>
      <c r="CG141" s="534"/>
      <c r="CH141" s="534"/>
      <c r="CI141" s="534">
        <f t="shared" si="233"/>
        <v>0</v>
      </c>
      <c r="CL141" s="534">
        <f>IF(ISNA(VLOOKUP(I141,Veg_Parameters!$A$3:$N$65,13,FALSE)),0,(VLOOKUP(I141,Veg_Parameters!$A$3:$N$65,13,FALSE)))</f>
        <v>0</v>
      </c>
      <c r="CM141" s="534">
        <f t="shared" si="234"/>
        <v>0</v>
      </c>
      <c r="CN141" s="534">
        <f>IF(ISNA(VLOOKUP(N141,Veg_Parameters!$A$3:$N$65,13,FALSE)),0,(VLOOKUP(N141,Veg_Parameters!$A$3:$N$65,13,FALSE)))</f>
        <v>0</v>
      </c>
      <c r="CO141" s="523">
        <f t="shared" si="235"/>
        <v>0</v>
      </c>
    </row>
    <row r="142" spans="1:93" x14ac:dyDescent="0.2">
      <c r="A142" s="227"/>
      <c r="B142" s="171" t="str">
        <f t="shared" si="236"/>
        <v/>
      </c>
      <c r="C142" s="230"/>
      <c r="D142" s="169"/>
      <c r="E142" s="165"/>
      <c r="F142" s="165"/>
      <c r="G142" s="165"/>
      <c r="H142" s="165"/>
      <c r="I142" s="168"/>
      <c r="J142" s="167"/>
      <c r="K142" s="168"/>
      <c r="L142" s="167"/>
      <c r="M142" s="167"/>
      <c r="N142" s="168"/>
      <c r="O142" s="168"/>
      <c r="P142" s="167"/>
      <c r="Q142" s="167"/>
      <c r="R142" s="167"/>
      <c r="S142" s="222" t="str">
        <f>IF(ISBLANK(A142),"",IF(ISNA(VLOOKUP(I142,Veg_Parameters!$A$3:$N$65,3,FALSE)),0,(VLOOKUP(I142,Veg_Parameters!$A$3:$N$65,3,FALSE))))</f>
        <v/>
      </c>
      <c r="T142" s="222" t="str">
        <f>IF(ISBLANK(N142),"",IF(ISNA(VLOOKUP(N142,Veg_Parameters!$A$3:$N$65,3,FALSE)),0,(VLOOKUP(N142,Veg_Parameters!$A$3:$N$65,3,FALSE))))</f>
        <v/>
      </c>
      <c r="U142" s="523">
        <f t="shared" si="218"/>
        <v>0</v>
      </c>
      <c r="V142" s="523">
        <f t="shared" si="194"/>
        <v>0</v>
      </c>
      <c r="W142" s="524">
        <f>IF(ISBLANK(A142),0,IF(ISNA(VLOOKUP($I142,Veg_Parameters!$A$3:$N$65,10,FALSE)),0,(VLOOKUP($I142,Veg_Parameters!$A$3:$N$65,10,FALSE))))</f>
        <v>0</v>
      </c>
      <c r="X142" s="524">
        <f>IF(ISBLANK(A142),0,IF(ISNA(VLOOKUP($I142,Veg_Parameters!$A$3:$N$65,11,FALSE)),0,(VLOOKUP($I142,Veg_Parameters!$A$3:$N$65,11,FALSE))))</f>
        <v>0</v>
      </c>
      <c r="Y142" s="524">
        <f>IF(ISBLANK(A142),0,IF(ISNA(VLOOKUP($I142,Veg_Parameters!$A$3:$N$65,12,FALSE)),0,(VLOOKUP($I142,Veg_Parameters!$A$3:$N$65,12,FALSE))))</f>
        <v>0</v>
      </c>
      <c r="Z142" s="525">
        <f t="shared" si="195"/>
        <v>0</v>
      </c>
      <c r="AA142" s="525">
        <f t="shared" si="196"/>
        <v>0</v>
      </c>
      <c r="AB142" s="525">
        <f t="shared" si="197"/>
        <v>0</v>
      </c>
      <c r="AC142" s="524">
        <f>IF(ISBLANK(N142),0,IF(ISNA(VLOOKUP($N142,Veg_Parameters!$A$3:$N$65,10,FALSE)),0,(VLOOKUP($N142,Veg_Parameters!$A$3:$N$65,10,FALSE))))</f>
        <v>0</v>
      </c>
      <c r="AD142" s="524">
        <f>IF(ISBLANK(N142),0,IF(ISNA(VLOOKUP($N142,Veg_Parameters!$A$3:$N$65,11,FALSE)),0,(VLOOKUP($N142,Veg_Parameters!$A$3:$N$65,11,FALSE))))</f>
        <v>0</v>
      </c>
      <c r="AE142" s="524">
        <f>IF(ISBLANK(N142), 0, IF(ISNA(VLOOKUP($N142,Veg_Parameters!$A$3:$N$65,12,FALSE)),0,(VLOOKUP($N142,Veg_Parameters!$A$3:$N$65,12,FALSE))))</f>
        <v>0</v>
      </c>
      <c r="AF142" s="523">
        <f t="shared" si="198"/>
        <v>0</v>
      </c>
      <c r="AG142" s="523">
        <f t="shared" si="199"/>
        <v>0</v>
      </c>
      <c r="AH142" s="523">
        <f t="shared" si="200"/>
        <v>0</v>
      </c>
      <c r="AI142" s="526"/>
      <c r="AJ142" s="527">
        <f>AB142*(IF(ISNA(VLOOKUP($I142,Veg_Parameters!$A$3:$N$65,5,FALSE)),0,(VLOOKUP($I142,Veg_Parameters!$A$3:$N$65,5,FALSE))))</f>
        <v>0</v>
      </c>
      <c r="AK142" s="527">
        <f>IF(ISNA(VLOOKUP($I142,Veg_Parameters!$A$3:$N$65,4,FALSE)),0,(VLOOKUP($I142,Veg_Parameters!$A$3:$N$65,4,FALSE)))</f>
        <v>0</v>
      </c>
      <c r="AL142" s="527">
        <f>AB142*(IF(ISNA(VLOOKUP($I142,Veg_Parameters!$A$3:$N$65,7,FALSE)),0, (VLOOKUP($I142,Veg_Parameters!$A$3:$N$65,7,FALSE))))</f>
        <v>0</v>
      </c>
      <c r="AM142" s="528">
        <f>IF(ISNA(VLOOKUP($I142,Veg_Parameters!$A$3:$N$65,6,FALSE)), 0, (VLOOKUP($I142,Veg_Parameters!$A$3:$N$65,6,FALSE)))</f>
        <v>0</v>
      </c>
      <c r="AN142" s="529">
        <f t="shared" si="201"/>
        <v>20</v>
      </c>
      <c r="AO142" s="529">
        <f t="shared" si="202"/>
        <v>0</v>
      </c>
      <c r="AP142" s="529">
        <f t="shared" si="203"/>
        <v>0</v>
      </c>
      <c r="AQ142" s="530">
        <f t="shared" si="219"/>
        <v>0</v>
      </c>
      <c r="AR142" s="527" t="s">
        <v>3</v>
      </c>
      <c r="AS142" s="527">
        <f>IF(ISNA(VLOOKUP($I142,Veg_Parameters!$A$3:$N$65,8,FALSE)), 0, (VLOOKUP($I142,Veg_Parameters!$A$3:$N$65,8,FALSE)))</f>
        <v>0</v>
      </c>
      <c r="AT142" s="527">
        <f>AB142*(IF(ISNA(VLOOKUP($I142,Veg_Parameters!$A$3:$N$65,9,FALSE)), 0, (VLOOKUP($I142,Veg_Parameters!$A$3:$N$65,9,FALSE))))</f>
        <v>0</v>
      </c>
      <c r="AU142" s="527">
        <f>IF(ISBLANK(A142),0,VLOOKUP($I142,Veg_Parameters!$A$4:$U$65,21,))</f>
        <v>0</v>
      </c>
      <c r="AV142" s="527">
        <f t="shared" si="220"/>
        <v>0</v>
      </c>
      <c r="AW142" s="529">
        <f t="shared" si="221"/>
        <v>0</v>
      </c>
      <c r="AX142" s="529">
        <f t="shared" si="222"/>
        <v>0</v>
      </c>
      <c r="AY142" s="529">
        <f t="shared" si="204"/>
        <v>0</v>
      </c>
      <c r="AZ142" s="529">
        <f t="shared" si="223"/>
        <v>0</v>
      </c>
      <c r="BA142" s="529">
        <f t="shared" si="224"/>
        <v>0</v>
      </c>
      <c r="BB142" s="529">
        <f t="shared" si="225"/>
        <v>0</v>
      </c>
      <c r="BC142" s="529">
        <f t="shared" si="205"/>
        <v>0</v>
      </c>
      <c r="BD142" s="531"/>
      <c r="BE142" s="527">
        <f>AH142*(IF(ISNA(VLOOKUP($N142,Veg_Parameters!$A$3:$N$65,5,FALSE)),0,(VLOOKUP($N142,Veg_Parameters!$A$3:$N$65,5,FALSE))))</f>
        <v>0</v>
      </c>
      <c r="BF142" s="527">
        <f>IF(ISNA(VLOOKUP($N142,Veg_Parameters!$A$3:$N$65,4,FALSE)),0,(VLOOKUP($N142,Veg_Parameters!$A$3:$N$65,4,FALSE)))</f>
        <v>0</v>
      </c>
      <c r="BG142" s="527">
        <f>AH142*(IF(ISNA(VLOOKUP($N142,Veg_Parameters!$A$3:$N$65,7,FALSE)),0, (VLOOKUP($N142,Veg_Parameters!$A$3:$N$65,7,FALSE))))</f>
        <v>0</v>
      </c>
      <c r="BH142" s="527">
        <f>IF(ISNA(VLOOKUP($N142,Veg_Parameters!$A$3:$N$65,6,FALSE)), 0, (VLOOKUP($N142,Veg_Parameters!$A$3:$N$65,6,FALSE)))</f>
        <v>0</v>
      </c>
      <c r="BI142" s="529">
        <f t="shared" si="206"/>
        <v>20</v>
      </c>
      <c r="BJ142" s="529">
        <f t="shared" si="226"/>
        <v>0</v>
      </c>
      <c r="BK142" s="529">
        <f t="shared" si="207"/>
        <v>0</v>
      </c>
      <c r="BL142" s="530">
        <f t="shared" si="227"/>
        <v>0</v>
      </c>
      <c r="BM142" s="527" t="s">
        <v>3</v>
      </c>
      <c r="BN142" s="527">
        <f>IF(ISNA(VLOOKUP(N142,Veg_Parameters!$A$3:$N$65,8,FALSE)), 0, (VLOOKUP($N142,Veg_Parameters!$A$3:$N$65,8,FALSE)))</f>
        <v>0</v>
      </c>
      <c r="BO142" s="527">
        <f>AH142*(IF(ISNA(VLOOKUP($N142,Veg_Parameters!$A$3:$N$65,9,FALSE)), 0, (VLOOKUP($N142,Veg_Parameters!$A$3:$N$65,9,FALSE))))</f>
        <v>0</v>
      </c>
      <c r="BP142" s="527" t="str">
        <f>IF(ISBLANK(N142),"0",VLOOKUP($N142,Veg_Parameters!$A$4:$U$65,21,))</f>
        <v>0</v>
      </c>
      <c r="BQ142" s="529">
        <f t="shared" si="228"/>
        <v>0</v>
      </c>
      <c r="BR142" s="529">
        <f t="shared" si="229"/>
        <v>0</v>
      </c>
      <c r="BS142" s="529">
        <f t="shared" si="208"/>
        <v>0</v>
      </c>
      <c r="BT142" s="529">
        <f t="shared" si="230"/>
        <v>0</v>
      </c>
      <c r="BU142" s="529">
        <f t="shared" si="231"/>
        <v>0</v>
      </c>
      <c r="BV142" s="529">
        <f t="shared" si="232"/>
        <v>0</v>
      </c>
      <c r="BW142" s="532" t="str">
        <f t="shared" si="209"/>
        <v/>
      </c>
      <c r="BX142" s="532" t="str">
        <f t="shared" si="210"/>
        <v/>
      </c>
      <c r="BY142" s="532" t="str">
        <f t="shared" si="211"/>
        <v/>
      </c>
      <c r="BZ142" s="532" t="str">
        <f t="shared" si="212"/>
        <v/>
      </c>
      <c r="CA142" s="532">
        <f t="shared" si="213"/>
        <v>0</v>
      </c>
      <c r="CB142" s="533"/>
      <c r="CC142" s="624">
        <f t="shared" si="214"/>
        <v>0</v>
      </c>
      <c r="CD142" s="534">
        <f t="shared" si="215"/>
        <v>0</v>
      </c>
      <c r="CE142" s="534">
        <f t="shared" si="216"/>
        <v>0</v>
      </c>
      <c r="CF142" s="534">
        <f t="shared" si="217"/>
        <v>0</v>
      </c>
      <c r="CG142" s="534"/>
      <c r="CH142" s="534"/>
      <c r="CI142" s="534">
        <f t="shared" si="233"/>
        <v>0</v>
      </c>
      <c r="CL142" s="534">
        <f>IF(ISNA(VLOOKUP(I142,Veg_Parameters!$A$3:$N$65,13,FALSE)),0,(VLOOKUP(I142,Veg_Parameters!$A$3:$N$65,13,FALSE)))</f>
        <v>0</v>
      </c>
      <c r="CM142" s="534">
        <f t="shared" si="234"/>
        <v>0</v>
      </c>
      <c r="CN142" s="534">
        <f>IF(ISNA(VLOOKUP(N142,Veg_Parameters!$A$3:$N$65,13,FALSE)),0,(VLOOKUP(N142,Veg_Parameters!$A$3:$N$65,13,FALSE)))</f>
        <v>0</v>
      </c>
      <c r="CO142" s="523">
        <f t="shared" si="235"/>
        <v>0</v>
      </c>
    </row>
    <row r="143" spans="1:93" x14ac:dyDescent="0.2">
      <c r="A143" s="227"/>
      <c r="B143" s="171" t="str">
        <f t="shared" si="236"/>
        <v/>
      </c>
      <c r="C143" s="230"/>
      <c r="D143" s="169"/>
      <c r="E143" s="165"/>
      <c r="F143" s="165"/>
      <c r="G143" s="165"/>
      <c r="H143" s="165"/>
      <c r="I143" s="168"/>
      <c r="J143" s="167"/>
      <c r="K143" s="168"/>
      <c r="L143" s="167"/>
      <c r="M143" s="167"/>
      <c r="N143" s="168"/>
      <c r="O143" s="168"/>
      <c r="P143" s="167"/>
      <c r="Q143" s="167"/>
      <c r="R143" s="167"/>
      <c r="S143" s="222" t="str">
        <f>IF(ISBLANK(A143),"",IF(ISNA(VLOOKUP(I143,Veg_Parameters!$A$3:$N$65,3,FALSE)),0,(VLOOKUP(I143,Veg_Parameters!$A$3:$N$65,3,FALSE))))</f>
        <v/>
      </c>
      <c r="T143" s="222" t="str">
        <f>IF(ISBLANK(N143),"",IF(ISNA(VLOOKUP(N143,Veg_Parameters!$A$3:$N$65,3,FALSE)),0,(VLOOKUP(N143,Veg_Parameters!$A$3:$N$65,3,FALSE))))</f>
        <v/>
      </c>
      <c r="U143" s="523">
        <f t="shared" si="218"/>
        <v>0</v>
      </c>
      <c r="V143" s="523">
        <f t="shared" si="194"/>
        <v>0</v>
      </c>
      <c r="W143" s="524">
        <f>IF(ISBLANK(A143),0,IF(ISNA(VLOOKUP($I143,Veg_Parameters!$A$3:$N$65,10,FALSE)),0,(VLOOKUP($I143,Veg_Parameters!$A$3:$N$65,10,FALSE))))</f>
        <v>0</v>
      </c>
      <c r="X143" s="524">
        <f>IF(ISBLANK(A143),0,IF(ISNA(VLOOKUP($I143,Veg_Parameters!$A$3:$N$65,11,FALSE)),0,(VLOOKUP($I143,Veg_Parameters!$A$3:$N$65,11,FALSE))))</f>
        <v>0</v>
      </c>
      <c r="Y143" s="524">
        <f>IF(ISBLANK(A143),0,IF(ISNA(VLOOKUP($I143,Veg_Parameters!$A$3:$N$65,12,FALSE)),0,(VLOOKUP($I143,Veg_Parameters!$A$3:$N$65,12,FALSE))))</f>
        <v>0</v>
      </c>
      <c r="Z143" s="525">
        <f t="shared" si="195"/>
        <v>0</v>
      </c>
      <c r="AA143" s="525">
        <f t="shared" si="196"/>
        <v>0</v>
      </c>
      <c r="AB143" s="525">
        <f t="shared" si="197"/>
        <v>0</v>
      </c>
      <c r="AC143" s="524">
        <f>IF(ISBLANK(N143),0,IF(ISNA(VLOOKUP($N143,Veg_Parameters!$A$3:$N$65,10,FALSE)),0,(VLOOKUP($N143,Veg_Parameters!$A$3:$N$65,10,FALSE))))</f>
        <v>0</v>
      </c>
      <c r="AD143" s="524">
        <f>IF(ISBLANK(N143),0,IF(ISNA(VLOOKUP($N143,Veg_Parameters!$A$3:$N$65,11,FALSE)),0,(VLOOKUP($N143,Veg_Parameters!$A$3:$N$65,11,FALSE))))</f>
        <v>0</v>
      </c>
      <c r="AE143" s="524">
        <f>IF(ISBLANK(N143), 0, IF(ISNA(VLOOKUP($N143,Veg_Parameters!$A$3:$N$65,12,FALSE)),0,(VLOOKUP($N143,Veg_Parameters!$A$3:$N$65,12,FALSE))))</f>
        <v>0</v>
      </c>
      <c r="AF143" s="523">
        <f t="shared" si="198"/>
        <v>0</v>
      </c>
      <c r="AG143" s="523">
        <f t="shared" si="199"/>
        <v>0</v>
      </c>
      <c r="AH143" s="523">
        <f t="shared" si="200"/>
        <v>0</v>
      </c>
      <c r="AI143" s="526"/>
      <c r="AJ143" s="527">
        <f>AB143*(IF(ISNA(VLOOKUP($I143,Veg_Parameters!$A$3:$N$65,5,FALSE)),0,(VLOOKUP($I143,Veg_Parameters!$A$3:$N$65,5,FALSE))))</f>
        <v>0</v>
      </c>
      <c r="AK143" s="527">
        <f>IF(ISNA(VLOOKUP($I143,Veg_Parameters!$A$3:$N$65,4,FALSE)),0,(VLOOKUP($I143,Veg_Parameters!$A$3:$N$65,4,FALSE)))</f>
        <v>0</v>
      </c>
      <c r="AL143" s="527">
        <f>AB143*(IF(ISNA(VLOOKUP($I143,Veg_Parameters!$A$3:$N$65,7,FALSE)),0, (VLOOKUP($I143,Veg_Parameters!$A$3:$N$65,7,FALSE))))</f>
        <v>0</v>
      </c>
      <c r="AM143" s="528">
        <f>IF(ISNA(VLOOKUP($I143,Veg_Parameters!$A$3:$N$65,6,FALSE)), 0, (VLOOKUP($I143,Veg_Parameters!$A$3:$N$65,6,FALSE)))</f>
        <v>0</v>
      </c>
      <c r="AN143" s="529">
        <f t="shared" si="201"/>
        <v>20</v>
      </c>
      <c r="AO143" s="529">
        <f t="shared" si="202"/>
        <v>0</v>
      </c>
      <c r="AP143" s="529">
        <f t="shared" si="203"/>
        <v>0</v>
      </c>
      <c r="AQ143" s="530">
        <f t="shared" si="219"/>
        <v>0</v>
      </c>
      <c r="AR143" s="527" t="s">
        <v>3</v>
      </c>
      <c r="AS143" s="527">
        <f>IF(ISNA(VLOOKUP($I143,Veg_Parameters!$A$3:$N$65,8,FALSE)), 0, (VLOOKUP($I143,Veg_Parameters!$A$3:$N$65,8,FALSE)))</f>
        <v>0</v>
      </c>
      <c r="AT143" s="527">
        <f>AB143*(IF(ISNA(VLOOKUP($I143,Veg_Parameters!$A$3:$N$65,9,FALSE)), 0, (VLOOKUP($I143,Veg_Parameters!$A$3:$N$65,9,FALSE))))</f>
        <v>0</v>
      </c>
      <c r="AU143" s="527">
        <f>IF(ISBLANK(A143),0,VLOOKUP($I143,Veg_Parameters!$A$4:$U$65,21,))</f>
        <v>0</v>
      </c>
      <c r="AV143" s="527">
        <f t="shared" si="220"/>
        <v>0</v>
      </c>
      <c r="AW143" s="529">
        <f t="shared" si="221"/>
        <v>0</v>
      </c>
      <c r="AX143" s="529">
        <f t="shared" si="222"/>
        <v>0</v>
      </c>
      <c r="AY143" s="529">
        <f t="shared" si="204"/>
        <v>0</v>
      </c>
      <c r="AZ143" s="529">
        <f t="shared" si="223"/>
        <v>0</v>
      </c>
      <c r="BA143" s="529">
        <f t="shared" si="224"/>
        <v>0</v>
      </c>
      <c r="BB143" s="529">
        <f t="shared" si="225"/>
        <v>0</v>
      </c>
      <c r="BC143" s="529">
        <f t="shared" si="205"/>
        <v>0</v>
      </c>
      <c r="BD143" s="531"/>
      <c r="BE143" s="527">
        <f>AH143*(IF(ISNA(VLOOKUP($N143,Veg_Parameters!$A$3:$N$65,5,FALSE)),0,(VLOOKUP($N143,Veg_Parameters!$A$3:$N$65,5,FALSE))))</f>
        <v>0</v>
      </c>
      <c r="BF143" s="527">
        <f>IF(ISNA(VLOOKUP($N143,Veg_Parameters!$A$3:$N$65,4,FALSE)),0,(VLOOKUP($N143,Veg_Parameters!$A$3:$N$65,4,FALSE)))</f>
        <v>0</v>
      </c>
      <c r="BG143" s="527">
        <f>AH143*(IF(ISNA(VLOOKUP($N143,Veg_Parameters!$A$3:$N$65,7,FALSE)),0, (VLOOKUP($N143,Veg_Parameters!$A$3:$N$65,7,FALSE))))</f>
        <v>0</v>
      </c>
      <c r="BH143" s="527">
        <f>IF(ISNA(VLOOKUP($N143,Veg_Parameters!$A$3:$N$65,6,FALSE)), 0, (VLOOKUP($N143,Veg_Parameters!$A$3:$N$65,6,FALSE)))</f>
        <v>0</v>
      </c>
      <c r="BI143" s="529">
        <f t="shared" si="206"/>
        <v>20</v>
      </c>
      <c r="BJ143" s="529">
        <f t="shared" si="226"/>
        <v>0</v>
      </c>
      <c r="BK143" s="529">
        <f t="shared" si="207"/>
        <v>0</v>
      </c>
      <c r="BL143" s="530">
        <f t="shared" si="227"/>
        <v>0</v>
      </c>
      <c r="BM143" s="527" t="s">
        <v>3</v>
      </c>
      <c r="BN143" s="527">
        <f>IF(ISNA(VLOOKUP(N143,Veg_Parameters!$A$3:$N$65,8,FALSE)), 0, (VLOOKUP($N143,Veg_Parameters!$A$3:$N$65,8,FALSE)))</f>
        <v>0</v>
      </c>
      <c r="BO143" s="527">
        <f>AH143*(IF(ISNA(VLOOKUP($N143,Veg_Parameters!$A$3:$N$65,9,FALSE)), 0, (VLOOKUP($N143,Veg_Parameters!$A$3:$N$65,9,FALSE))))</f>
        <v>0</v>
      </c>
      <c r="BP143" s="527" t="str">
        <f>IF(ISBLANK(N143),"0",VLOOKUP($N143,Veg_Parameters!$A$4:$U$65,21,))</f>
        <v>0</v>
      </c>
      <c r="BQ143" s="529">
        <f t="shared" si="228"/>
        <v>0</v>
      </c>
      <c r="BR143" s="529">
        <f t="shared" si="229"/>
        <v>0</v>
      </c>
      <c r="BS143" s="529">
        <f t="shared" si="208"/>
        <v>0</v>
      </c>
      <c r="BT143" s="529">
        <f t="shared" si="230"/>
        <v>0</v>
      </c>
      <c r="BU143" s="529">
        <f t="shared" si="231"/>
        <v>0</v>
      </c>
      <c r="BV143" s="529">
        <f t="shared" si="232"/>
        <v>0</v>
      </c>
      <c r="BW143" s="532" t="str">
        <f t="shared" si="209"/>
        <v/>
      </c>
      <c r="BX143" s="532" t="str">
        <f t="shared" si="210"/>
        <v/>
      </c>
      <c r="BY143" s="532" t="str">
        <f t="shared" si="211"/>
        <v/>
      </c>
      <c r="BZ143" s="532" t="str">
        <f t="shared" si="212"/>
        <v/>
      </c>
      <c r="CA143" s="532">
        <f t="shared" si="213"/>
        <v>0</v>
      </c>
      <c r="CB143" s="533"/>
      <c r="CC143" s="624">
        <f t="shared" si="214"/>
        <v>0</v>
      </c>
      <c r="CD143" s="534">
        <f t="shared" si="215"/>
        <v>0</v>
      </c>
      <c r="CE143" s="534">
        <f t="shared" si="216"/>
        <v>0</v>
      </c>
      <c r="CF143" s="534">
        <f t="shared" si="217"/>
        <v>0</v>
      </c>
      <c r="CG143" s="534"/>
      <c r="CH143" s="534"/>
      <c r="CI143" s="534">
        <f t="shared" si="233"/>
        <v>0</v>
      </c>
      <c r="CL143" s="534">
        <f>IF(ISNA(VLOOKUP(I143,Veg_Parameters!$A$3:$N$65,13,FALSE)),0,(VLOOKUP(I143,Veg_Parameters!$A$3:$N$65,13,FALSE)))</f>
        <v>0</v>
      </c>
      <c r="CM143" s="534">
        <f t="shared" si="234"/>
        <v>0</v>
      </c>
      <c r="CN143" s="534">
        <f>IF(ISNA(VLOOKUP(N143,Veg_Parameters!$A$3:$N$65,13,FALSE)),0,(VLOOKUP(N143,Veg_Parameters!$A$3:$N$65,13,FALSE)))</f>
        <v>0</v>
      </c>
      <c r="CO143" s="523">
        <f t="shared" si="235"/>
        <v>0</v>
      </c>
    </row>
    <row r="144" spans="1:93" x14ac:dyDescent="0.2">
      <c r="A144" s="227"/>
      <c r="B144" s="171" t="str">
        <f t="shared" si="236"/>
        <v/>
      </c>
      <c r="C144" s="292" t="s">
        <v>27</v>
      </c>
      <c r="D144" s="234"/>
      <c r="E144" s="165"/>
      <c r="F144" s="165"/>
      <c r="G144" s="165"/>
      <c r="H144" s="165"/>
      <c r="I144" s="168"/>
      <c r="J144" s="167"/>
      <c r="K144" s="168"/>
      <c r="L144" s="167"/>
      <c r="M144" s="167"/>
      <c r="N144" s="168"/>
      <c r="O144" s="168"/>
      <c r="P144" s="167"/>
      <c r="Q144" s="167"/>
      <c r="R144" s="167"/>
      <c r="S144" s="222" t="str">
        <f>IF(ISBLANK(A144),"",IF(ISNA(VLOOKUP(I144,Veg_Parameters!$A$3:$N$65,3,FALSE)),0,(VLOOKUP(I144,Veg_Parameters!$A$3:$N$65,3,FALSE))))</f>
        <v/>
      </c>
      <c r="T144" s="222" t="str">
        <f>IF(ISBLANK(N144),"",IF(ISNA(VLOOKUP(N144,Veg_Parameters!$A$3:$N$65,3,FALSE)),0,(VLOOKUP(N144,Veg_Parameters!$A$3:$N$65,3,FALSE))))</f>
        <v/>
      </c>
      <c r="U144" s="523">
        <f t="shared" si="218"/>
        <v>0</v>
      </c>
      <c r="V144" s="523">
        <f t="shared" si="194"/>
        <v>0</v>
      </c>
      <c r="W144" s="524">
        <f>IF(ISBLANK(A144),0,IF(ISNA(VLOOKUP($I144,Veg_Parameters!$A$3:$N$65,10,FALSE)),0,(VLOOKUP($I144,Veg_Parameters!$A$3:$N$65,10,FALSE))))</f>
        <v>0</v>
      </c>
      <c r="X144" s="524">
        <f>IF(ISBLANK(A144),0,IF(ISNA(VLOOKUP($I144,Veg_Parameters!$A$3:$N$65,11,FALSE)),0,(VLOOKUP($I144,Veg_Parameters!$A$3:$N$65,11,FALSE))))</f>
        <v>0</v>
      </c>
      <c r="Y144" s="524">
        <f>IF(ISBLANK(A144),0,IF(ISNA(VLOOKUP($I144,Veg_Parameters!$A$3:$N$65,12,FALSE)),0,(VLOOKUP($I144,Veg_Parameters!$A$3:$N$65,12,FALSE))))</f>
        <v>0</v>
      </c>
      <c r="Z144" s="525">
        <f t="shared" si="195"/>
        <v>0</v>
      </c>
      <c r="AA144" s="525">
        <f t="shared" si="196"/>
        <v>0</v>
      </c>
      <c r="AB144" s="525">
        <f t="shared" si="197"/>
        <v>0</v>
      </c>
      <c r="AC144" s="524">
        <f>IF(ISBLANK(N144),0,IF(ISNA(VLOOKUP($N144,Veg_Parameters!$A$3:$N$65,10,FALSE)),0,(VLOOKUP($N144,Veg_Parameters!$A$3:$N$65,10,FALSE))))</f>
        <v>0</v>
      </c>
      <c r="AD144" s="524">
        <f>IF(ISBLANK(N144),0,IF(ISNA(VLOOKUP($N144,Veg_Parameters!$A$3:$N$65,11,FALSE)),0,(VLOOKUP($N144,Veg_Parameters!$A$3:$N$65,11,FALSE))))</f>
        <v>0</v>
      </c>
      <c r="AE144" s="524">
        <f>IF(ISBLANK(N144), 0, IF(ISNA(VLOOKUP($N144,Veg_Parameters!$A$3:$N$65,12,FALSE)),0,(VLOOKUP($N144,Veg_Parameters!$A$3:$N$65,12,FALSE))))</f>
        <v>0</v>
      </c>
      <c r="AF144" s="523">
        <f t="shared" si="198"/>
        <v>0</v>
      </c>
      <c r="AG144" s="523">
        <f t="shared" si="199"/>
        <v>0</v>
      </c>
      <c r="AH144" s="523">
        <f t="shared" si="200"/>
        <v>0</v>
      </c>
      <c r="AI144" s="526"/>
      <c r="AJ144" s="527">
        <f>AB144*(IF(ISNA(VLOOKUP($I144,Veg_Parameters!$A$3:$N$65,5,FALSE)),0,(VLOOKUP($I144,Veg_Parameters!$A$3:$N$65,5,FALSE))))</f>
        <v>0</v>
      </c>
      <c r="AK144" s="527">
        <f>IF(ISNA(VLOOKUP($I144,Veg_Parameters!$A$3:$N$65,4,FALSE)),0,(VLOOKUP($I144,Veg_Parameters!$A$3:$N$65,4,FALSE)))</f>
        <v>0</v>
      </c>
      <c r="AL144" s="527">
        <f>AB144*(IF(ISNA(VLOOKUP($I144,Veg_Parameters!$A$3:$N$65,7,FALSE)),0, (VLOOKUP($I144,Veg_Parameters!$A$3:$N$65,7,FALSE))))</f>
        <v>0</v>
      </c>
      <c r="AM144" s="528">
        <f>IF(ISNA(VLOOKUP($I144,Veg_Parameters!$A$3:$N$65,6,FALSE)), 0, (VLOOKUP($I144,Veg_Parameters!$A$3:$N$65,6,FALSE)))</f>
        <v>0</v>
      </c>
      <c r="AN144" s="529">
        <f t="shared" si="201"/>
        <v>20</v>
      </c>
      <c r="AO144" s="529">
        <f t="shared" si="202"/>
        <v>0</v>
      </c>
      <c r="AP144" s="529">
        <f t="shared" si="203"/>
        <v>0</v>
      </c>
      <c r="AQ144" s="530">
        <f t="shared" si="219"/>
        <v>0</v>
      </c>
      <c r="AR144" s="527" t="s">
        <v>3</v>
      </c>
      <c r="AS144" s="527">
        <f>IF(ISNA(VLOOKUP($I144,Veg_Parameters!$A$3:$N$65,8,FALSE)), 0, (VLOOKUP($I144,Veg_Parameters!$A$3:$N$65,8,FALSE)))</f>
        <v>0</v>
      </c>
      <c r="AT144" s="527">
        <f>AB144*(IF(ISNA(VLOOKUP($I144,Veg_Parameters!$A$3:$N$65,9,FALSE)), 0, (VLOOKUP($I144,Veg_Parameters!$A$3:$N$65,9,FALSE))))</f>
        <v>0</v>
      </c>
      <c r="AU144" s="527">
        <f>IF(ISBLANK(A144),0,VLOOKUP($I144,Veg_Parameters!$A$4:$U$65,21,))</f>
        <v>0</v>
      </c>
      <c r="AV144" s="527">
        <f t="shared" si="220"/>
        <v>0</v>
      </c>
      <c r="AW144" s="529">
        <f t="shared" si="221"/>
        <v>0</v>
      </c>
      <c r="AX144" s="529">
        <f t="shared" si="222"/>
        <v>0</v>
      </c>
      <c r="AY144" s="529">
        <f t="shared" si="204"/>
        <v>0</v>
      </c>
      <c r="AZ144" s="529">
        <f t="shared" si="223"/>
        <v>0</v>
      </c>
      <c r="BA144" s="529">
        <f t="shared" si="224"/>
        <v>0</v>
      </c>
      <c r="BB144" s="529">
        <f t="shared" si="225"/>
        <v>0</v>
      </c>
      <c r="BC144" s="529">
        <f t="shared" si="205"/>
        <v>0</v>
      </c>
      <c r="BD144" s="531"/>
      <c r="BE144" s="527">
        <f>AH144*(IF(ISNA(VLOOKUP($N144,Veg_Parameters!$A$3:$N$65,5,FALSE)),0,(VLOOKUP($N144,Veg_Parameters!$A$3:$N$65,5,FALSE))))</f>
        <v>0</v>
      </c>
      <c r="BF144" s="527">
        <f>IF(ISNA(VLOOKUP($N144,Veg_Parameters!$A$3:$N$65,4,FALSE)),0,(VLOOKUP($N144,Veg_Parameters!$A$3:$N$65,4,FALSE)))</f>
        <v>0</v>
      </c>
      <c r="BG144" s="527">
        <f>AH144*(IF(ISNA(VLOOKUP($N144,Veg_Parameters!$A$3:$N$65,7,FALSE)),0, (VLOOKUP($N144,Veg_Parameters!$A$3:$N$65,7,FALSE))))</f>
        <v>0</v>
      </c>
      <c r="BH144" s="527">
        <f>IF(ISNA(VLOOKUP($N144,Veg_Parameters!$A$3:$N$65,6,FALSE)), 0, (VLOOKUP($N144,Veg_Parameters!$A$3:$N$65,6,FALSE)))</f>
        <v>0</v>
      </c>
      <c r="BI144" s="529">
        <f t="shared" si="206"/>
        <v>20</v>
      </c>
      <c r="BJ144" s="529">
        <f t="shared" si="226"/>
        <v>0</v>
      </c>
      <c r="BK144" s="529">
        <f t="shared" si="207"/>
        <v>0</v>
      </c>
      <c r="BL144" s="530">
        <f t="shared" si="227"/>
        <v>0</v>
      </c>
      <c r="BM144" s="527" t="s">
        <v>3</v>
      </c>
      <c r="BN144" s="527">
        <f>IF(ISNA(VLOOKUP(N144,Veg_Parameters!$A$3:$N$65,8,FALSE)), 0, (VLOOKUP($N144,Veg_Parameters!$A$3:$N$65,8,FALSE)))</f>
        <v>0</v>
      </c>
      <c r="BO144" s="527">
        <f>AH144*(IF(ISNA(VLOOKUP($N144,Veg_Parameters!$A$3:$N$65,9,FALSE)), 0, (VLOOKUP($N144,Veg_Parameters!$A$3:$N$65,9,FALSE))))</f>
        <v>0</v>
      </c>
      <c r="BP144" s="527" t="str">
        <f>IF(ISBLANK(N144),"0",VLOOKUP($N144,Veg_Parameters!$A$4:$U$65,21,))</f>
        <v>0</v>
      </c>
      <c r="BQ144" s="529">
        <f t="shared" si="228"/>
        <v>0</v>
      </c>
      <c r="BR144" s="529">
        <f t="shared" si="229"/>
        <v>0</v>
      </c>
      <c r="BS144" s="529">
        <f t="shared" si="208"/>
        <v>0</v>
      </c>
      <c r="BT144" s="529">
        <f t="shared" si="230"/>
        <v>0</v>
      </c>
      <c r="BU144" s="529">
        <f t="shared" si="231"/>
        <v>0</v>
      </c>
      <c r="BV144" s="529">
        <f t="shared" si="232"/>
        <v>0</v>
      </c>
      <c r="BW144" s="532" t="str">
        <f t="shared" si="209"/>
        <v/>
      </c>
      <c r="BX144" s="532" t="str">
        <f t="shared" si="210"/>
        <v/>
      </c>
      <c r="BY144" s="532" t="str">
        <f t="shared" si="211"/>
        <v/>
      </c>
      <c r="BZ144" s="532" t="str">
        <f t="shared" si="212"/>
        <v/>
      </c>
      <c r="CA144" s="532">
        <f t="shared" si="213"/>
        <v>0</v>
      </c>
      <c r="CB144" s="533"/>
      <c r="CC144" s="624">
        <f t="shared" si="214"/>
        <v>0</v>
      </c>
      <c r="CD144" s="534">
        <f t="shared" si="215"/>
        <v>0</v>
      </c>
      <c r="CE144" s="534">
        <f t="shared" si="216"/>
        <v>0</v>
      </c>
      <c r="CF144" s="534">
        <f t="shared" si="217"/>
        <v>0</v>
      </c>
      <c r="CG144" s="534"/>
      <c r="CH144" s="534"/>
      <c r="CI144" s="534">
        <f t="shared" si="233"/>
        <v>0</v>
      </c>
      <c r="CL144" s="534">
        <f>IF(ISNA(VLOOKUP(I144,Veg_Parameters!$A$3:$N$65,13,FALSE)),0,(VLOOKUP(I144,Veg_Parameters!$A$3:$N$65,13,FALSE)))</f>
        <v>0</v>
      </c>
      <c r="CM144" s="534">
        <f t="shared" si="234"/>
        <v>0</v>
      </c>
      <c r="CN144" s="534">
        <f>IF(ISNA(VLOOKUP(N144,Veg_Parameters!$A$3:$N$65,13,FALSE)),0,(VLOOKUP(N144,Veg_Parameters!$A$3:$N$65,13,FALSE)))</f>
        <v>0</v>
      </c>
      <c r="CO144" s="523">
        <f t="shared" si="235"/>
        <v>0</v>
      </c>
    </row>
    <row r="145" spans="1:93" x14ac:dyDescent="0.2">
      <c r="A145" s="227"/>
      <c r="B145" s="171" t="str">
        <f t="shared" si="236"/>
        <v/>
      </c>
      <c r="C145" s="230"/>
      <c r="D145" s="169"/>
      <c r="E145" s="165"/>
      <c r="F145" s="165"/>
      <c r="G145" s="165"/>
      <c r="H145" s="165"/>
      <c r="I145" s="168"/>
      <c r="J145" s="167"/>
      <c r="K145" s="168"/>
      <c r="L145" s="167"/>
      <c r="M145" s="167"/>
      <c r="N145" s="168"/>
      <c r="O145" s="168"/>
      <c r="P145" s="167"/>
      <c r="Q145" s="167"/>
      <c r="R145" s="167"/>
      <c r="S145" s="222" t="str">
        <f>IF(ISBLANK(A145),"",IF(ISNA(VLOOKUP(I145,Veg_Parameters!$A$3:$N$65,3,FALSE)),0,(VLOOKUP(I145,Veg_Parameters!$A$3:$N$65,3,FALSE))))</f>
        <v/>
      </c>
      <c r="T145" s="222" t="str">
        <f>IF(ISBLANK(N145),"",IF(ISNA(VLOOKUP(N145,Veg_Parameters!$A$3:$N$65,3,FALSE)),0,(VLOOKUP(N145,Veg_Parameters!$A$3:$N$65,3,FALSE))))</f>
        <v/>
      </c>
      <c r="U145" s="523">
        <f t="shared" si="218"/>
        <v>0</v>
      </c>
      <c r="V145" s="523">
        <f t="shared" si="194"/>
        <v>0</v>
      </c>
      <c r="W145" s="524">
        <f>IF(ISBLANK(A145),0,IF(ISNA(VLOOKUP($I145,Veg_Parameters!$A$3:$N$65,10,FALSE)),0,(VLOOKUP($I145,Veg_Parameters!$A$3:$N$65,10,FALSE))))</f>
        <v>0</v>
      </c>
      <c r="X145" s="524">
        <f>IF(ISBLANK(A145),0,IF(ISNA(VLOOKUP($I145,Veg_Parameters!$A$3:$N$65,11,FALSE)),0,(VLOOKUP($I145,Veg_Parameters!$A$3:$N$65,11,FALSE))))</f>
        <v>0</v>
      </c>
      <c r="Y145" s="524">
        <f>IF(ISBLANK(A145),0,IF(ISNA(VLOOKUP($I145,Veg_Parameters!$A$3:$N$65,12,FALSE)),0,(VLOOKUP($I145,Veg_Parameters!$A$3:$N$65,12,FALSE))))</f>
        <v>0</v>
      </c>
      <c r="Z145" s="525">
        <f t="shared" si="195"/>
        <v>0</v>
      </c>
      <c r="AA145" s="525">
        <f t="shared" si="196"/>
        <v>0</v>
      </c>
      <c r="AB145" s="525">
        <f t="shared" si="197"/>
        <v>0</v>
      </c>
      <c r="AC145" s="524">
        <f>IF(ISBLANK(N145),0,IF(ISNA(VLOOKUP($N145,Veg_Parameters!$A$3:$N$65,10,FALSE)),0,(VLOOKUP($N145,Veg_Parameters!$A$3:$N$65,10,FALSE))))</f>
        <v>0</v>
      </c>
      <c r="AD145" s="524">
        <f>IF(ISBLANK(N145),0,IF(ISNA(VLOOKUP($N145,Veg_Parameters!$A$3:$N$65,11,FALSE)),0,(VLOOKUP($N145,Veg_Parameters!$A$3:$N$65,11,FALSE))))</f>
        <v>0</v>
      </c>
      <c r="AE145" s="524">
        <f>IF(ISBLANK(N145), 0, IF(ISNA(VLOOKUP($N145,Veg_Parameters!$A$3:$N$65,12,FALSE)),0,(VLOOKUP($N145,Veg_Parameters!$A$3:$N$65,12,FALSE))))</f>
        <v>0</v>
      </c>
      <c r="AF145" s="523">
        <f t="shared" si="198"/>
        <v>0</v>
      </c>
      <c r="AG145" s="523">
        <f t="shared" si="199"/>
        <v>0</v>
      </c>
      <c r="AH145" s="523">
        <f t="shared" si="200"/>
        <v>0</v>
      </c>
      <c r="AI145" s="526"/>
      <c r="AJ145" s="527">
        <f>AB145*(IF(ISNA(VLOOKUP($I145,Veg_Parameters!$A$3:$N$65,5,FALSE)),0,(VLOOKUP($I145,Veg_Parameters!$A$3:$N$65,5,FALSE))))</f>
        <v>0</v>
      </c>
      <c r="AK145" s="527">
        <f>IF(ISNA(VLOOKUP($I145,Veg_Parameters!$A$3:$N$65,4,FALSE)),0,(VLOOKUP($I145,Veg_Parameters!$A$3:$N$65,4,FALSE)))</f>
        <v>0</v>
      </c>
      <c r="AL145" s="527">
        <f>AB145*(IF(ISNA(VLOOKUP($I145,Veg_Parameters!$A$3:$N$65,7,FALSE)),0, (VLOOKUP($I145,Veg_Parameters!$A$3:$N$65,7,FALSE))))</f>
        <v>0</v>
      </c>
      <c r="AM145" s="528">
        <f>IF(ISNA(VLOOKUP($I145,Veg_Parameters!$A$3:$N$65,6,FALSE)), 0, (VLOOKUP($I145,Veg_Parameters!$A$3:$N$65,6,FALSE)))</f>
        <v>0</v>
      </c>
      <c r="AN145" s="529">
        <f t="shared" si="201"/>
        <v>20</v>
      </c>
      <c r="AO145" s="529">
        <f t="shared" si="202"/>
        <v>0</v>
      </c>
      <c r="AP145" s="529">
        <f t="shared" si="203"/>
        <v>0</v>
      </c>
      <c r="AQ145" s="530">
        <f t="shared" si="219"/>
        <v>0</v>
      </c>
      <c r="AR145" s="527" t="s">
        <v>3</v>
      </c>
      <c r="AS145" s="527">
        <f>IF(ISNA(VLOOKUP($I145,Veg_Parameters!$A$3:$N$65,8,FALSE)), 0, (VLOOKUP($I145,Veg_Parameters!$A$3:$N$65,8,FALSE)))</f>
        <v>0</v>
      </c>
      <c r="AT145" s="527">
        <f>AB145*(IF(ISNA(VLOOKUP($I145,Veg_Parameters!$A$3:$N$65,9,FALSE)), 0, (VLOOKUP($I145,Veg_Parameters!$A$3:$N$65,9,FALSE))))</f>
        <v>0</v>
      </c>
      <c r="AU145" s="527">
        <f>IF(ISBLANK(A145),0,VLOOKUP($I145,Veg_Parameters!$A$4:$U$65,21,))</f>
        <v>0</v>
      </c>
      <c r="AV145" s="527">
        <f t="shared" si="220"/>
        <v>0</v>
      </c>
      <c r="AW145" s="529">
        <f t="shared" si="221"/>
        <v>0</v>
      </c>
      <c r="AX145" s="529">
        <f t="shared" si="222"/>
        <v>0</v>
      </c>
      <c r="AY145" s="529">
        <f t="shared" si="204"/>
        <v>0</v>
      </c>
      <c r="AZ145" s="529">
        <f t="shared" si="223"/>
        <v>0</v>
      </c>
      <c r="BA145" s="529">
        <f t="shared" si="224"/>
        <v>0</v>
      </c>
      <c r="BB145" s="529">
        <f t="shared" si="225"/>
        <v>0</v>
      </c>
      <c r="BC145" s="529">
        <f t="shared" si="205"/>
        <v>0</v>
      </c>
      <c r="BD145" s="531"/>
      <c r="BE145" s="527">
        <f>AH145*(IF(ISNA(VLOOKUP($N145,Veg_Parameters!$A$3:$N$65,5,FALSE)),0,(VLOOKUP($N145,Veg_Parameters!$A$3:$N$65,5,FALSE))))</f>
        <v>0</v>
      </c>
      <c r="BF145" s="527">
        <f>IF(ISNA(VLOOKUP($N145,Veg_Parameters!$A$3:$N$65,4,FALSE)),0,(VLOOKUP($N145,Veg_Parameters!$A$3:$N$65,4,FALSE)))</f>
        <v>0</v>
      </c>
      <c r="BG145" s="527">
        <f>AH145*(IF(ISNA(VLOOKUP($N145,Veg_Parameters!$A$3:$N$65,7,FALSE)),0, (VLOOKUP($N145,Veg_Parameters!$A$3:$N$65,7,FALSE))))</f>
        <v>0</v>
      </c>
      <c r="BH145" s="527">
        <f>IF(ISNA(VLOOKUP($N145,Veg_Parameters!$A$3:$N$65,6,FALSE)), 0, (VLOOKUP($N145,Veg_Parameters!$A$3:$N$65,6,FALSE)))</f>
        <v>0</v>
      </c>
      <c r="BI145" s="529">
        <f t="shared" si="206"/>
        <v>20</v>
      </c>
      <c r="BJ145" s="529">
        <f t="shared" si="226"/>
        <v>0</v>
      </c>
      <c r="BK145" s="529">
        <f t="shared" si="207"/>
        <v>0</v>
      </c>
      <c r="BL145" s="530">
        <f t="shared" si="227"/>
        <v>0</v>
      </c>
      <c r="BM145" s="527" t="s">
        <v>3</v>
      </c>
      <c r="BN145" s="527">
        <f>IF(ISNA(VLOOKUP(N145,Veg_Parameters!$A$3:$N$65,8,FALSE)), 0, (VLOOKUP($N145,Veg_Parameters!$A$3:$N$65,8,FALSE)))</f>
        <v>0</v>
      </c>
      <c r="BO145" s="527">
        <f>AH145*(IF(ISNA(VLOOKUP($N145,Veg_Parameters!$A$3:$N$65,9,FALSE)), 0, (VLOOKUP($N145,Veg_Parameters!$A$3:$N$65,9,FALSE))))</f>
        <v>0</v>
      </c>
      <c r="BP145" s="527" t="str">
        <f>IF(ISBLANK(N145),"0",VLOOKUP($N145,Veg_Parameters!$A$4:$U$65,21,))</f>
        <v>0</v>
      </c>
      <c r="BQ145" s="529">
        <f t="shared" si="228"/>
        <v>0</v>
      </c>
      <c r="BR145" s="529">
        <f t="shared" si="229"/>
        <v>0</v>
      </c>
      <c r="BS145" s="529">
        <f t="shared" si="208"/>
        <v>0</v>
      </c>
      <c r="BT145" s="529">
        <f t="shared" si="230"/>
        <v>0</v>
      </c>
      <c r="BU145" s="529">
        <f t="shared" si="231"/>
        <v>0</v>
      </c>
      <c r="BV145" s="529">
        <f t="shared" si="232"/>
        <v>0</v>
      </c>
      <c r="BW145" s="532" t="str">
        <f t="shared" si="209"/>
        <v/>
      </c>
      <c r="BX145" s="532" t="str">
        <f t="shared" si="210"/>
        <v/>
      </c>
      <c r="BY145" s="532" t="str">
        <f t="shared" si="211"/>
        <v/>
      </c>
      <c r="BZ145" s="532" t="str">
        <f t="shared" si="212"/>
        <v/>
      </c>
      <c r="CA145" s="532">
        <f t="shared" si="213"/>
        <v>0</v>
      </c>
      <c r="CB145" s="533"/>
      <c r="CC145" s="624">
        <f t="shared" si="214"/>
        <v>0</v>
      </c>
      <c r="CD145" s="534">
        <f t="shared" si="215"/>
        <v>0</v>
      </c>
      <c r="CE145" s="534">
        <f t="shared" si="216"/>
        <v>0</v>
      </c>
      <c r="CF145" s="534">
        <f t="shared" si="217"/>
        <v>0</v>
      </c>
      <c r="CG145" s="534"/>
      <c r="CH145" s="534"/>
      <c r="CI145" s="534">
        <f t="shared" si="233"/>
        <v>0</v>
      </c>
      <c r="CL145" s="534">
        <f>IF(ISNA(VLOOKUP(I145,Veg_Parameters!$A$3:$N$65,13,FALSE)),0,(VLOOKUP(I145,Veg_Parameters!$A$3:$N$65,13,FALSE)))</f>
        <v>0</v>
      </c>
      <c r="CM145" s="534">
        <f t="shared" si="234"/>
        <v>0</v>
      </c>
      <c r="CN145" s="534">
        <f>IF(ISNA(VLOOKUP(N145,Veg_Parameters!$A$3:$N$65,13,FALSE)),0,(VLOOKUP(N145,Veg_Parameters!$A$3:$N$65,13,FALSE)))</f>
        <v>0</v>
      </c>
      <c r="CO145" s="523">
        <f t="shared" si="235"/>
        <v>0</v>
      </c>
    </row>
    <row r="146" spans="1:93" x14ac:dyDescent="0.2">
      <c r="A146" s="227"/>
      <c r="B146" s="171" t="str">
        <f t="shared" si="236"/>
        <v/>
      </c>
      <c r="C146" s="230"/>
      <c r="D146" s="169"/>
      <c r="E146" s="165"/>
      <c r="F146" s="165"/>
      <c r="G146" s="165"/>
      <c r="H146" s="165"/>
      <c r="I146" s="168"/>
      <c r="J146" s="167"/>
      <c r="K146" s="168"/>
      <c r="L146" s="167"/>
      <c r="M146" s="167"/>
      <c r="N146" s="168"/>
      <c r="O146" s="168"/>
      <c r="P146" s="167"/>
      <c r="Q146" s="167"/>
      <c r="R146" s="167"/>
      <c r="S146" s="222" t="str">
        <f>IF(ISBLANK(A146),"",IF(ISNA(VLOOKUP(I146,Veg_Parameters!$A$3:$N$65,3,FALSE)),0,(VLOOKUP(I146,Veg_Parameters!$A$3:$N$65,3,FALSE))))</f>
        <v/>
      </c>
      <c r="T146" s="222" t="str">
        <f>IF(ISBLANK(N146),"",IF(ISNA(VLOOKUP(N146,Veg_Parameters!$A$3:$N$65,3,FALSE)),0,(VLOOKUP(N146,Veg_Parameters!$A$3:$N$65,3,FALSE))))</f>
        <v/>
      </c>
      <c r="U146" s="523">
        <f t="shared" si="218"/>
        <v>0</v>
      </c>
      <c r="V146" s="523">
        <f t="shared" si="194"/>
        <v>0</v>
      </c>
      <c r="W146" s="524">
        <f>IF(ISBLANK(A146),0,IF(ISNA(VLOOKUP($I146,Veg_Parameters!$A$3:$N$65,10,FALSE)),0,(VLOOKUP($I146,Veg_Parameters!$A$3:$N$65,10,FALSE))))</f>
        <v>0</v>
      </c>
      <c r="X146" s="524">
        <f>IF(ISBLANK(A146),0,IF(ISNA(VLOOKUP($I146,Veg_Parameters!$A$3:$N$65,11,FALSE)),0,(VLOOKUP($I146,Veg_Parameters!$A$3:$N$65,11,FALSE))))</f>
        <v>0</v>
      </c>
      <c r="Y146" s="524">
        <f>IF(ISBLANK(A146),0,IF(ISNA(VLOOKUP($I146,Veg_Parameters!$A$3:$N$65,12,FALSE)),0,(VLOOKUP($I146,Veg_Parameters!$A$3:$N$65,12,FALSE))))</f>
        <v>0</v>
      </c>
      <c r="Z146" s="525">
        <f t="shared" si="195"/>
        <v>0</v>
      </c>
      <c r="AA146" s="525">
        <f t="shared" si="196"/>
        <v>0</v>
      </c>
      <c r="AB146" s="525">
        <f t="shared" si="197"/>
        <v>0</v>
      </c>
      <c r="AC146" s="524">
        <f>IF(ISBLANK(N146),0,IF(ISNA(VLOOKUP($N146,Veg_Parameters!$A$3:$N$65,10,FALSE)),0,(VLOOKUP($N146,Veg_Parameters!$A$3:$N$65,10,FALSE))))</f>
        <v>0</v>
      </c>
      <c r="AD146" s="524">
        <f>IF(ISBLANK(N146),0,IF(ISNA(VLOOKUP($N146,Veg_Parameters!$A$3:$N$65,11,FALSE)),0,(VLOOKUP($N146,Veg_Parameters!$A$3:$N$65,11,FALSE))))</f>
        <v>0</v>
      </c>
      <c r="AE146" s="524">
        <f>IF(ISBLANK(N146), 0, IF(ISNA(VLOOKUP($N146,Veg_Parameters!$A$3:$N$65,12,FALSE)),0,(VLOOKUP($N146,Veg_Parameters!$A$3:$N$65,12,FALSE))))</f>
        <v>0</v>
      </c>
      <c r="AF146" s="523">
        <f t="shared" si="198"/>
        <v>0</v>
      </c>
      <c r="AG146" s="523">
        <f t="shared" si="199"/>
        <v>0</v>
      </c>
      <c r="AH146" s="523">
        <f t="shared" si="200"/>
        <v>0</v>
      </c>
      <c r="AI146" s="526"/>
      <c r="AJ146" s="527">
        <f>AB146*(IF(ISNA(VLOOKUP($I146,Veg_Parameters!$A$3:$N$65,5,FALSE)),0,(VLOOKUP($I146,Veg_Parameters!$A$3:$N$65,5,FALSE))))</f>
        <v>0</v>
      </c>
      <c r="AK146" s="527">
        <f>IF(ISNA(VLOOKUP($I146,Veg_Parameters!$A$3:$N$65,4,FALSE)),0,(VLOOKUP($I146,Veg_Parameters!$A$3:$N$65,4,FALSE)))</f>
        <v>0</v>
      </c>
      <c r="AL146" s="527">
        <f>AB146*(IF(ISNA(VLOOKUP($I146,Veg_Parameters!$A$3:$N$65,7,FALSE)),0, (VLOOKUP($I146,Veg_Parameters!$A$3:$N$65,7,FALSE))))</f>
        <v>0</v>
      </c>
      <c r="AM146" s="528">
        <f>IF(ISNA(VLOOKUP($I146,Veg_Parameters!$A$3:$N$65,6,FALSE)), 0, (VLOOKUP($I146,Veg_Parameters!$A$3:$N$65,6,FALSE)))</f>
        <v>0</v>
      </c>
      <c r="AN146" s="529">
        <f t="shared" si="201"/>
        <v>20</v>
      </c>
      <c r="AO146" s="529">
        <f t="shared" si="202"/>
        <v>0</v>
      </c>
      <c r="AP146" s="529">
        <f t="shared" si="203"/>
        <v>0</v>
      </c>
      <c r="AQ146" s="530">
        <f t="shared" si="219"/>
        <v>0</v>
      </c>
      <c r="AR146" s="527" t="s">
        <v>3</v>
      </c>
      <c r="AS146" s="527">
        <f>IF(ISNA(VLOOKUP($I146,Veg_Parameters!$A$3:$N$65,8,FALSE)), 0, (VLOOKUP($I146,Veg_Parameters!$A$3:$N$65,8,FALSE)))</f>
        <v>0</v>
      </c>
      <c r="AT146" s="527">
        <f>AB146*(IF(ISNA(VLOOKUP($I146,Veg_Parameters!$A$3:$N$65,9,FALSE)), 0, (VLOOKUP($I146,Veg_Parameters!$A$3:$N$65,9,FALSE))))</f>
        <v>0</v>
      </c>
      <c r="AU146" s="527">
        <f>IF(ISBLANK(A146),0,VLOOKUP($I146,Veg_Parameters!$A$4:$U$65,21,))</f>
        <v>0</v>
      </c>
      <c r="AV146" s="527">
        <f t="shared" si="220"/>
        <v>0</v>
      </c>
      <c r="AW146" s="529">
        <f t="shared" si="221"/>
        <v>0</v>
      </c>
      <c r="AX146" s="529">
        <f t="shared" si="222"/>
        <v>0</v>
      </c>
      <c r="AY146" s="529">
        <f t="shared" si="204"/>
        <v>0</v>
      </c>
      <c r="AZ146" s="529">
        <f t="shared" si="223"/>
        <v>0</v>
      </c>
      <c r="BA146" s="529">
        <f t="shared" si="224"/>
        <v>0</v>
      </c>
      <c r="BB146" s="529">
        <f t="shared" si="225"/>
        <v>0</v>
      </c>
      <c r="BC146" s="529">
        <f t="shared" si="205"/>
        <v>0</v>
      </c>
      <c r="BD146" s="531"/>
      <c r="BE146" s="527">
        <f>AH146*(IF(ISNA(VLOOKUP($N146,Veg_Parameters!$A$3:$N$65,5,FALSE)),0,(VLOOKUP($N146,Veg_Parameters!$A$3:$N$65,5,FALSE))))</f>
        <v>0</v>
      </c>
      <c r="BF146" s="527">
        <f>IF(ISNA(VLOOKUP($N146,Veg_Parameters!$A$3:$N$65,4,FALSE)),0,(VLOOKUP($N146,Veg_Parameters!$A$3:$N$65,4,FALSE)))</f>
        <v>0</v>
      </c>
      <c r="BG146" s="527">
        <f>AH146*(IF(ISNA(VLOOKUP($N146,Veg_Parameters!$A$3:$N$65,7,FALSE)),0, (VLOOKUP($N146,Veg_Parameters!$A$3:$N$65,7,FALSE))))</f>
        <v>0</v>
      </c>
      <c r="BH146" s="527">
        <f>IF(ISNA(VLOOKUP($N146,Veg_Parameters!$A$3:$N$65,6,FALSE)), 0, (VLOOKUP($N146,Veg_Parameters!$A$3:$N$65,6,FALSE)))</f>
        <v>0</v>
      </c>
      <c r="BI146" s="529">
        <f t="shared" si="206"/>
        <v>20</v>
      </c>
      <c r="BJ146" s="529">
        <f t="shared" si="226"/>
        <v>0</v>
      </c>
      <c r="BK146" s="529">
        <f t="shared" si="207"/>
        <v>0</v>
      </c>
      <c r="BL146" s="530">
        <f t="shared" si="227"/>
        <v>0</v>
      </c>
      <c r="BM146" s="527" t="s">
        <v>3</v>
      </c>
      <c r="BN146" s="527">
        <f>IF(ISNA(VLOOKUP(N146,Veg_Parameters!$A$3:$N$65,8,FALSE)), 0, (VLOOKUP($N146,Veg_Parameters!$A$3:$N$65,8,FALSE)))</f>
        <v>0</v>
      </c>
      <c r="BO146" s="527">
        <f>AH146*(IF(ISNA(VLOOKUP($N146,Veg_Parameters!$A$3:$N$65,9,FALSE)), 0, (VLOOKUP($N146,Veg_Parameters!$A$3:$N$65,9,FALSE))))</f>
        <v>0</v>
      </c>
      <c r="BP146" s="527" t="str">
        <f>IF(ISBLANK(N146),"0",VLOOKUP($N146,Veg_Parameters!$A$4:$U$65,21,))</f>
        <v>0</v>
      </c>
      <c r="BQ146" s="529">
        <f t="shared" si="228"/>
        <v>0</v>
      </c>
      <c r="BR146" s="529">
        <f t="shared" si="229"/>
        <v>0</v>
      </c>
      <c r="BS146" s="529">
        <f t="shared" si="208"/>
        <v>0</v>
      </c>
      <c r="BT146" s="529">
        <f t="shared" si="230"/>
        <v>0</v>
      </c>
      <c r="BU146" s="529">
        <f t="shared" si="231"/>
        <v>0</v>
      </c>
      <c r="BV146" s="529">
        <f t="shared" si="232"/>
        <v>0</v>
      </c>
      <c r="BW146" s="532" t="str">
        <f t="shared" si="209"/>
        <v/>
      </c>
      <c r="BX146" s="532" t="str">
        <f t="shared" si="210"/>
        <v/>
      </c>
      <c r="BY146" s="532" t="str">
        <f t="shared" si="211"/>
        <v/>
      </c>
      <c r="BZ146" s="532" t="str">
        <f t="shared" si="212"/>
        <v/>
      </c>
      <c r="CA146" s="532">
        <f t="shared" si="213"/>
        <v>0</v>
      </c>
      <c r="CB146" s="533"/>
      <c r="CC146" s="624">
        <f t="shared" si="214"/>
        <v>0</v>
      </c>
      <c r="CD146" s="534">
        <f t="shared" si="215"/>
        <v>0</v>
      </c>
      <c r="CE146" s="534">
        <f t="shared" si="216"/>
        <v>0</v>
      </c>
      <c r="CF146" s="534">
        <f t="shared" si="217"/>
        <v>0</v>
      </c>
      <c r="CG146" s="534"/>
      <c r="CH146" s="534"/>
      <c r="CI146" s="534">
        <f t="shared" si="233"/>
        <v>0</v>
      </c>
      <c r="CL146" s="534">
        <f>IF(ISNA(VLOOKUP(I146,Veg_Parameters!$A$3:$N$65,13,FALSE)),0,(VLOOKUP(I146,Veg_Parameters!$A$3:$N$65,13,FALSE)))</f>
        <v>0</v>
      </c>
      <c r="CM146" s="534">
        <f t="shared" si="234"/>
        <v>0</v>
      </c>
      <c r="CN146" s="534">
        <f>IF(ISNA(VLOOKUP(N146,Veg_Parameters!$A$3:$N$65,13,FALSE)),0,(VLOOKUP(N146,Veg_Parameters!$A$3:$N$65,13,FALSE)))</f>
        <v>0</v>
      </c>
      <c r="CO146" s="523">
        <f t="shared" si="235"/>
        <v>0</v>
      </c>
    </row>
    <row r="147" spans="1:93" x14ac:dyDescent="0.2">
      <c r="A147" s="227"/>
      <c r="B147" s="171" t="str">
        <f t="shared" si="236"/>
        <v/>
      </c>
      <c r="C147" s="230"/>
      <c r="D147" s="169"/>
      <c r="E147" s="165"/>
      <c r="F147" s="165"/>
      <c r="G147" s="165"/>
      <c r="H147" s="165"/>
      <c r="I147" s="168"/>
      <c r="J147" s="167"/>
      <c r="K147" s="168"/>
      <c r="L147" s="167"/>
      <c r="M147" s="167"/>
      <c r="N147" s="168"/>
      <c r="O147" s="168"/>
      <c r="P147" s="167"/>
      <c r="Q147" s="167"/>
      <c r="R147" s="167"/>
      <c r="S147" s="222" t="str">
        <f>IF(ISBLANK(A147),"",IF(ISNA(VLOOKUP(I147,Veg_Parameters!$A$3:$N$65,3,FALSE)),0,(VLOOKUP(I147,Veg_Parameters!$A$3:$N$65,3,FALSE))))</f>
        <v/>
      </c>
      <c r="T147" s="222" t="str">
        <f>IF(ISBLANK(N147),"",IF(ISNA(VLOOKUP(N147,Veg_Parameters!$A$3:$N$65,3,FALSE)),0,(VLOOKUP(N147,Veg_Parameters!$A$3:$N$65,3,FALSE))))</f>
        <v/>
      </c>
      <c r="U147" s="523">
        <f t="shared" si="218"/>
        <v>0</v>
      </c>
      <c r="V147" s="523">
        <f t="shared" si="194"/>
        <v>0</v>
      </c>
      <c r="W147" s="524">
        <f>IF(ISBLANK(A147),0,IF(ISNA(VLOOKUP($I147,Veg_Parameters!$A$3:$N$65,10,FALSE)),0,(VLOOKUP($I147,Veg_Parameters!$A$3:$N$65,10,FALSE))))</f>
        <v>0</v>
      </c>
      <c r="X147" s="524">
        <f>IF(ISBLANK(A147),0,IF(ISNA(VLOOKUP($I147,Veg_Parameters!$A$3:$N$65,11,FALSE)),0,(VLOOKUP($I147,Veg_Parameters!$A$3:$N$65,11,FALSE))))</f>
        <v>0</v>
      </c>
      <c r="Y147" s="524">
        <f>IF(ISBLANK(A147),0,IF(ISNA(VLOOKUP($I147,Veg_Parameters!$A$3:$N$65,12,FALSE)),0,(VLOOKUP($I147,Veg_Parameters!$A$3:$N$65,12,FALSE))))</f>
        <v>0</v>
      </c>
      <c r="Z147" s="525">
        <f t="shared" si="195"/>
        <v>0</v>
      </c>
      <c r="AA147" s="525">
        <f t="shared" si="196"/>
        <v>0</v>
      </c>
      <c r="AB147" s="525">
        <f t="shared" si="197"/>
        <v>0</v>
      </c>
      <c r="AC147" s="524">
        <f>IF(ISBLANK(N147),0,IF(ISNA(VLOOKUP($N147,Veg_Parameters!$A$3:$N$65,10,FALSE)),0,(VLOOKUP($N147,Veg_Parameters!$A$3:$N$65,10,FALSE))))</f>
        <v>0</v>
      </c>
      <c r="AD147" s="524">
        <f>IF(ISBLANK(N147),0,IF(ISNA(VLOOKUP($N147,Veg_Parameters!$A$3:$N$65,11,FALSE)),0,(VLOOKUP($N147,Veg_Parameters!$A$3:$N$65,11,FALSE))))</f>
        <v>0</v>
      </c>
      <c r="AE147" s="524">
        <f>IF(ISBLANK(N147), 0, IF(ISNA(VLOOKUP($N147,Veg_Parameters!$A$3:$N$65,12,FALSE)),0,(VLOOKUP($N147,Veg_Parameters!$A$3:$N$65,12,FALSE))))</f>
        <v>0</v>
      </c>
      <c r="AF147" s="523">
        <f t="shared" si="198"/>
        <v>0</v>
      </c>
      <c r="AG147" s="523">
        <f t="shared" si="199"/>
        <v>0</v>
      </c>
      <c r="AH147" s="523">
        <f t="shared" si="200"/>
        <v>0</v>
      </c>
      <c r="AI147" s="526"/>
      <c r="AJ147" s="527">
        <f>AB147*(IF(ISNA(VLOOKUP($I147,Veg_Parameters!$A$3:$N$65,5,FALSE)),0,(VLOOKUP($I147,Veg_Parameters!$A$3:$N$65,5,FALSE))))</f>
        <v>0</v>
      </c>
      <c r="AK147" s="527">
        <f>IF(ISNA(VLOOKUP($I147,Veg_Parameters!$A$3:$N$65,4,FALSE)),0,(VLOOKUP($I147,Veg_Parameters!$A$3:$N$65,4,FALSE)))</f>
        <v>0</v>
      </c>
      <c r="AL147" s="527">
        <f>AB147*(IF(ISNA(VLOOKUP($I147,Veg_Parameters!$A$3:$N$65,7,FALSE)),0, (VLOOKUP($I147,Veg_Parameters!$A$3:$N$65,7,FALSE))))</f>
        <v>0</v>
      </c>
      <c r="AM147" s="528">
        <f>IF(ISNA(VLOOKUP($I147,Veg_Parameters!$A$3:$N$65,6,FALSE)), 0, (VLOOKUP($I147,Veg_Parameters!$A$3:$N$65,6,FALSE)))</f>
        <v>0</v>
      </c>
      <c r="AN147" s="529">
        <f t="shared" si="201"/>
        <v>20</v>
      </c>
      <c r="AO147" s="529">
        <f t="shared" si="202"/>
        <v>0</v>
      </c>
      <c r="AP147" s="529">
        <f t="shared" si="203"/>
        <v>0</v>
      </c>
      <c r="AQ147" s="530">
        <f t="shared" si="219"/>
        <v>0</v>
      </c>
      <c r="AR147" s="527" t="s">
        <v>3</v>
      </c>
      <c r="AS147" s="527">
        <f>IF(ISNA(VLOOKUP($I147,Veg_Parameters!$A$3:$N$65,8,FALSE)), 0, (VLOOKUP($I147,Veg_Parameters!$A$3:$N$65,8,FALSE)))</f>
        <v>0</v>
      </c>
      <c r="AT147" s="527">
        <f>AB147*(IF(ISNA(VLOOKUP($I147,Veg_Parameters!$A$3:$N$65,9,FALSE)), 0, (VLOOKUP($I147,Veg_Parameters!$A$3:$N$65,9,FALSE))))</f>
        <v>0</v>
      </c>
      <c r="AU147" s="527">
        <f>IF(ISBLANK(A147),0,VLOOKUP($I147,Veg_Parameters!$A$4:$U$65,21,))</f>
        <v>0</v>
      </c>
      <c r="AV147" s="527">
        <f t="shared" si="220"/>
        <v>0</v>
      </c>
      <c r="AW147" s="529">
        <f t="shared" si="221"/>
        <v>0</v>
      </c>
      <c r="AX147" s="529">
        <f t="shared" si="222"/>
        <v>0</v>
      </c>
      <c r="AY147" s="529">
        <f t="shared" si="204"/>
        <v>0</v>
      </c>
      <c r="AZ147" s="529">
        <f t="shared" si="223"/>
        <v>0</v>
      </c>
      <c r="BA147" s="529">
        <f t="shared" si="224"/>
        <v>0</v>
      </c>
      <c r="BB147" s="529">
        <f t="shared" si="225"/>
        <v>0</v>
      </c>
      <c r="BC147" s="529">
        <f t="shared" si="205"/>
        <v>0</v>
      </c>
      <c r="BD147" s="531"/>
      <c r="BE147" s="527">
        <f>AH147*(IF(ISNA(VLOOKUP($N147,Veg_Parameters!$A$3:$N$65,5,FALSE)),0,(VLOOKUP($N147,Veg_Parameters!$A$3:$N$65,5,FALSE))))</f>
        <v>0</v>
      </c>
      <c r="BF147" s="527">
        <f>IF(ISNA(VLOOKUP($N147,Veg_Parameters!$A$3:$N$65,4,FALSE)),0,(VLOOKUP($N147,Veg_Parameters!$A$3:$N$65,4,FALSE)))</f>
        <v>0</v>
      </c>
      <c r="BG147" s="527">
        <f>AH147*(IF(ISNA(VLOOKUP($N147,Veg_Parameters!$A$3:$N$65,7,FALSE)),0, (VLOOKUP($N147,Veg_Parameters!$A$3:$N$65,7,FALSE))))</f>
        <v>0</v>
      </c>
      <c r="BH147" s="527">
        <f>IF(ISNA(VLOOKUP($N147,Veg_Parameters!$A$3:$N$65,6,FALSE)), 0, (VLOOKUP($N147,Veg_Parameters!$A$3:$N$65,6,FALSE)))</f>
        <v>0</v>
      </c>
      <c r="BI147" s="529">
        <f t="shared" si="206"/>
        <v>20</v>
      </c>
      <c r="BJ147" s="529">
        <f t="shared" si="226"/>
        <v>0</v>
      </c>
      <c r="BK147" s="529">
        <f t="shared" si="207"/>
        <v>0</v>
      </c>
      <c r="BL147" s="530">
        <f t="shared" si="227"/>
        <v>0</v>
      </c>
      <c r="BM147" s="527" t="s">
        <v>3</v>
      </c>
      <c r="BN147" s="527">
        <f>IF(ISNA(VLOOKUP(N147,Veg_Parameters!$A$3:$N$65,8,FALSE)), 0, (VLOOKUP($N147,Veg_Parameters!$A$3:$N$65,8,FALSE)))</f>
        <v>0</v>
      </c>
      <c r="BO147" s="527">
        <f>AH147*(IF(ISNA(VLOOKUP($N147,Veg_Parameters!$A$3:$N$65,9,FALSE)), 0, (VLOOKUP($N147,Veg_Parameters!$A$3:$N$65,9,FALSE))))</f>
        <v>0</v>
      </c>
      <c r="BP147" s="527" t="str">
        <f>IF(ISBLANK(N147),"0",VLOOKUP($N147,Veg_Parameters!$A$4:$U$65,21,))</f>
        <v>0</v>
      </c>
      <c r="BQ147" s="529">
        <f t="shared" si="228"/>
        <v>0</v>
      </c>
      <c r="BR147" s="529">
        <f t="shared" si="229"/>
        <v>0</v>
      </c>
      <c r="BS147" s="529">
        <f t="shared" si="208"/>
        <v>0</v>
      </c>
      <c r="BT147" s="529">
        <f t="shared" si="230"/>
        <v>0</v>
      </c>
      <c r="BU147" s="529">
        <f t="shared" si="231"/>
        <v>0</v>
      </c>
      <c r="BV147" s="529">
        <f t="shared" si="232"/>
        <v>0</v>
      </c>
      <c r="BW147" s="532" t="str">
        <f t="shared" si="209"/>
        <v/>
      </c>
      <c r="BX147" s="532" t="str">
        <f t="shared" si="210"/>
        <v/>
      </c>
      <c r="BY147" s="532" t="str">
        <f t="shared" si="211"/>
        <v/>
      </c>
      <c r="BZ147" s="532" t="str">
        <f t="shared" si="212"/>
        <v/>
      </c>
      <c r="CA147" s="532">
        <f t="shared" si="213"/>
        <v>0</v>
      </c>
      <c r="CB147" s="533"/>
      <c r="CC147" s="624">
        <f t="shared" si="214"/>
        <v>0</v>
      </c>
      <c r="CD147" s="534">
        <f t="shared" si="215"/>
        <v>0</v>
      </c>
      <c r="CE147" s="534">
        <f t="shared" si="216"/>
        <v>0</v>
      </c>
      <c r="CF147" s="534">
        <f t="shared" si="217"/>
        <v>0</v>
      </c>
      <c r="CG147" s="534"/>
      <c r="CH147" s="534"/>
      <c r="CI147" s="534">
        <f t="shared" si="233"/>
        <v>0</v>
      </c>
      <c r="CL147" s="534">
        <f>IF(ISNA(VLOOKUP(I147,Veg_Parameters!$A$3:$N$65,13,FALSE)),0,(VLOOKUP(I147,Veg_Parameters!$A$3:$N$65,13,FALSE)))</f>
        <v>0</v>
      </c>
      <c r="CM147" s="534">
        <f t="shared" si="234"/>
        <v>0</v>
      </c>
      <c r="CN147" s="534">
        <f>IF(ISNA(VLOOKUP(N147,Veg_Parameters!$A$3:$N$65,13,FALSE)),0,(VLOOKUP(N147,Veg_Parameters!$A$3:$N$65,13,FALSE)))</f>
        <v>0</v>
      </c>
      <c r="CO147" s="523">
        <f t="shared" si="235"/>
        <v>0</v>
      </c>
    </row>
    <row r="148" spans="1:93" x14ac:dyDescent="0.2">
      <c r="A148" s="227"/>
      <c r="B148" s="171" t="str">
        <f t="shared" si="236"/>
        <v/>
      </c>
      <c r="C148" s="230"/>
      <c r="D148" s="169"/>
      <c r="E148" s="165"/>
      <c r="F148" s="165"/>
      <c r="G148" s="165"/>
      <c r="H148" s="165"/>
      <c r="I148" s="168"/>
      <c r="J148" s="167"/>
      <c r="K148" s="168"/>
      <c r="L148" s="167"/>
      <c r="M148" s="167"/>
      <c r="N148" s="168"/>
      <c r="O148" s="168"/>
      <c r="P148" s="167"/>
      <c r="Q148" s="167"/>
      <c r="R148" s="167"/>
      <c r="S148" s="222" t="str">
        <f>IF(ISBLANK(A148),"",IF(ISNA(VLOOKUP(I148,Veg_Parameters!$A$3:$N$65,3,FALSE)),0,(VLOOKUP(I148,Veg_Parameters!$A$3:$N$65,3,FALSE))))</f>
        <v/>
      </c>
      <c r="T148" s="222" t="str">
        <f>IF(ISBLANK(N148),"",IF(ISNA(VLOOKUP(N148,Veg_Parameters!$A$3:$N$65,3,FALSE)),0,(VLOOKUP(N148,Veg_Parameters!$A$3:$N$65,3,FALSE))))</f>
        <v/>
      </c>
      <c r="U148" s="523">
        <f t="shared" si="218"/>
        <v>0</v>
      </c>
      <c r="V148" s="523">
        <f t="shared" si="194"/>
        <v>0</v>
      </c>
      <c r="W148" s="524">
        <f>IF(ISBLANK(A148),0,IF(ISNA(VLOOKUP($I148,Veg_Parameters!$A$3:$N$65,10,FALSE)),0,(VLOOKUP($I148,Veg_Parameters!$A$3:$N$65,10,FALSE))))</f>
        <v>0</v>
      </c>
      <c r="X148" s="524">
        <f>IF(ISBLANK(A148),0,IF(ISNA(VLOOKUP($I148,Veg_Parameters!$A$3:$N$65,11,FALSE)),0,(VLOOKUP($I148,Veg_Parameters!$A$3:$N$65,11,FALSE))))</f>
        <v>0</v>
      </c>
      <c r="Y148" s="524">
        <f>IF(ISBLANK(A148),0,IF(ISNA(VLOOKUP($I148,Veg_Parameters!$A$3:$N$65,12,FALSE)),0,(VLOOKUP($I148,Veg_Parameters!$A$3:$N$65,12,FALSE))))</f>
        <v>0</v>
      </c>
      <c r="Z148" s="525">
        <f t="shared" si="195"/>
        <v>0</v>
      </c>
      <c r="AA148" s="525">
        <f t="shared" si="196"/>
        <v>0</v>
      </c>
      <c r="AB148" s="525">
        <f t="shared" si="197"/>
        <v>0</v>
      </c>
      <c r="AC148" s="524">
        <f>IF(ISBLANK(N148),0,IF(ISNA(VLOOKUP($N148,Veg_Parameters!$A$3:$N$65,10,FALSE)),0,(VLOOKUP($N148,Veg_Parameters!$A$3:$N$65,10,FALSE))))</f>
        <v>0</v>
      </c>
      <c r="AD148" s="524">
        <f>IF(ISBLANK(N148),0,IF(ISNA(VLOOKUP($N148,Veg_Parameters!$A$3:$N$65,11,FALSE)),0,(VLOOKUP($N148,Veg_Parameters!$A$3:$N$65,11,FALSE))))</f>
        <v>0</v>
      </c>
      <c r="AE148" s="524">
        <f>IF(ISBLANK(N148), 0, IF(ISNA(VLOOKUP($N148,Veg_Parameters!$A$3:$N$65,12,FALSE)),0,(VLOOKUP($N148,Veg_Parameters!$A$3:$N$65,12,FALSE))))</f>
        <v>0</v>
      </c>
      <c r="AF148" s="523">
        <f t="shared" si="198"/>
        <v>0</v>
      </c>
      <c r="AG148" s="523">
        <f t="shared" si="199"/>
        <v>0</v>
      </c>
      <c r="AH148" s="523">
        <f t="shared" si="200"/>
        <v>0</v>
      </c>
      <c r="AI148" s="526"/>
      <c r="AJ148" s="527">
        <f>AB148*(IF(ISNA(VLOOKUP($I148,Veg_Parameters!$A$3:$N$65,5,FALSE)),0,(VLOOKUP($I148,Veg_Parameters!$A$3:$N$65,5,FALSE))))</f>
        <v>0</v>
      </c>
      <c r="AK148" s="527">
        <f>IF(ISNA(VLOOKUP($I148,Veg_Parameters!$A$3:$N$65,4,FALSE)),0,(VLOOKUP($I148,Veg_Parameters!$A$3:$N$65,4,FALSE)))</f>
        <v>0</v>
      </c>
      <c r="AL148" s="527">
        <f>AB148*(IF(ISNA(VLOOKUP($I148,Veg_Parameters!$A$3:$N$65,7,FALSE)),0, (VLOOKUP($I148,Veg_Parameters!$A$3:$N$65,7,FALSE))))</f>
        <v>0</v>
      </c>
      <c r="AM148" s="528">
        <f>IF(ISNA(VLOOKUP($I148,Veg_Parameters!$A$3:$N$65,6,FALSE)), 0, (VLOOKUP($I148,Veg_Parameters!$A$3:$N$65,6,FALSE)))</f>
        <v>0</v>
      </c>
      <c r="AN148" s="529">
        <f t="shared" si="201"/>
        <v>20</v>
      </c>
      <c r="AO148" s="529">
        <f t="shared" si="202"/>
        <v>0</v>
      </c>
      <c r="AP148" s="529">
        <f t="shared" si="203"/>
        <v>0</v>
      </c>
      <c r="AQ148" s="530">
        <f t="shared" si="219"/>
        <v>0</v>
      </c>
      <c r="AR148" s="527" t="s">
        <v>3</v>
      </c>
      <c r="AS148" s="527">
        <f>IF(ISNA(VLOOKUP($I148,Veg_Parameters!$A$3:$N$65,8,FALSE)), 0, (VLOOKUP($I148,Veg_Parameters!$A$3:$N$65,8,FALSE)))</f>
        <v>0</v>
      </c>
      <c r="AT148" s="527">
        <f>AB148*(IF(ISNA(VLOOKUP($I148,Veg_Parameters!$A$3:$N$65,9,FALSE)), 0, (VLOOKUP($I148,Veg_Parameters!$A$3:$N$65,9,FALSE))))</f>
        <v>0</v>
      </c>
      <c r="AU148" s="527">
        <f>IF(ISBLANK(A148),0,VLOOKUP($I148,Veg_Parameters!$A$4:$U$65,21,))</f>
        <v>0</v>
      </c>
      <c r="AV148" s="527">
        <f t="shared" si="220"/>
        <v>0</v>
      </c>
      <c r="AW148" s="529">
        <f t="shared" si="221"/>
        <v>0</v>
      </c>
      <c r="AX148" s="529">
        <f t="shared" si="222"/>
        <v>0</v>
      </c>
      <c r="AY148" s="529">
        <f t="shared" si="204"/>
        <v>0</v>
      </c>
      <c r="AZ148" s="529">
        <f t="shared" si="223"/>
        <v>0</v>
      </c>
      <c r="BA148" s="529">
        <f t="shared" si="224"/>
        <v>0</v>
      </c>
      <c r="BB148" s="529">
        <f t="shared" si="225"/>
        <v>0</v>
      </c>
      <c r="BC148" s="529">
        <f t="shared" si="205"/>
        <v>0</v>
      </c>
      <c r="BD148" s="531"/>
      <c r="BE148" s="527">
        <f>AH148*(IF(ISNA(VLOOKUP($N148,Veg_Parameters!$A$3:$N$65,5,FALSE)),0,(VLOOKUP($N148,Veg_Parameters!$A$3:$N$65,5,FALSE))))</f>
        <v>0</v>
      </c>
      <c r="BF148" s="527">
        <f>IF(ISNA(VLOOKUP($N148,Veg_Parameters!$A$3:$N$65,4,FALSE)),0,(VLOOKUP($N148,Veg_Parameters!$A$3:$N$65,4,FALSE)))</f>
        <v>0</v>
      </c>
      <c r="BG148" s="527">
        <f>AH148*(IF(ISNA(VLOOKUP($N148,Veg_Parameters!$A$3:$N$65,7,FALSE)),0, (VLOOKUP($N148,Veg_Parameters!$A$3:$N$65,7,FALSE))))</f>
        <v>0</v>
      </c>
      <c r="BH148" s="527">
        <f>IF(ISNA(VLOOKUP($N148,Veg_Parameters!$A$3:$N$65,6,FALSE)), 0, (VLOOKUP($N148,Veg_Parameters!$A$3:$N$65,6,FALSE)))</f>
        <v>0</v>
      </c>
      <c r="BI148" s="529">
        <f t="shared" si="206"/>
        <v>20</v>
      </c>
      <c r="BJ148" s="529">
        <f t="shared" si="226"/>
        <v>0</v>
      </c>
      <c r="BK148" s="529">
        <f t="shared" si="207"/>
        <v>0</v>
      </c>
      <c r="BL148" s="530">
        <f t="shared" si="227"/>
        <v>0</v>
      </c>
      <c r="BM148" s="527" t="s">
        <v>3</v>
      </c>
      <c r="BN148" s="527">
        <f>IF(ISNA(VLOOKUP(N148,Veg_Parameters!$A$3:$N$65,8,FALSE)), 0, (VLOOKUP($N148,Veg_Parameters!$A$3:$N$65,8,FALSE)))</f>
        <v>0</v>
      </c>
      <c r="BO148" s="527">
        <f>AH148*(IF(ISNA(VLOOKUP($N148,Veg_Parameters!$A$3:$N$65,9,FALSE)), 0, (VLOOKUP($N148,Veg_Parameters!$A$3:$N$65,9,FALSE))))</f>
        <v>0</v>
      </c>
      <c r="BP148" s="527" t="str">
        <f>IF(ISBLANK(N148),"0",VLOOKUP($N148,Veg_Parameters!$A$4:$U$65,21,))</f>
        <v>0</v>
      </c>
      <c r="BQ148" s="529">
        <f t="shared" si="228"/>
        <v>0</v>
      </c>
      <c r="BR148" s="529">
        <f t="shared" si="229"/>
        <v>0</v>
      </c>
      <c r="BS148" s="529">
        <f t="shared" si="208"/>
        <v>0</v>
      </c>
      <c r="BT148" s="529">
        <f t="shared" si="230"/>
        <v>0</v>
      </c>
      <c r="BU148" s="529">
        <f t="shared" si="231"/>
        <v>0</v>
      </c>
      <c r="BV148" s="529">
        <f t="shared" si="232"/>
        <v>0</v>
      </c>
      <c r="BW148" s="532" t="str">
        <f t="shared" si="209"/>
        <v/>
      </c>
      <c r="BX148" s="532" t="str">
        <f t="shared" si="210"/>
        <v/>
      </c>
      <c r="BY148" s="532" t="str">
        <f t="shared" si="211"/>
        <v/>
      </c>
      <c r="BZ148" s="532" t="str">
        <f t="shared" si="212"/>
        <v/>
      </c>
      <c r="CA148" s="532">
        <f t="shared" si="213"/>
        <v>0</v>
      </c>
      <c r="CB148" s="533"/>
      <c r="CC148" s="624">
        <f t="shared" si="214"/>
        <v>0</v>
      </c>
      <c r="CD148" s="534">
        <f t="shared" si="215"/>
        <v>0</v>
      </c>
      <c r="CE148" s="534">
        <f t="shared" si="216"/>
        <v>0</v>
      </c>
      <c r="CF148" s="534">
        <f t="shared" si="217"/>
        <v>0</v>
      </c>
      <c r="CG148" s="534"/>
      <c r="CH148" s="534"/>
      <c r="CI148" s="534">
        <f t="shared" si="233"/>
        <v>0</v>
      </c>
      <c r="CL148" s="534">
        <f>IF(ISNA(VLOOKUP(I148,Veg_Parameters!$A$3:$N$65,13,FALSE)),0,(VLOOKUP(I148,Veg_Parameters!$A$3:$N$65,13,FALSE)))</f>
        <v>0</v>
      </c>
      <c r="CM148" s="534">
        <f t="shared" si="234"/>
        <v>0</v>
      </c>
      <c r="CN148" s="534">
        <f>IF(ISNA(VLOOKUP(N148,Veg_Parameters!$A$3:$N$65,13,FALSE)),0,(VLOOKUP(N148,Veg_Parameters!$A$3:$N$65,13,FALSE)))</f>
        <v>0</v>
      </c>
      <c r="CO148" s="523">
        <f t="shared" si="235"/>
        <v>0</v>
      </c>
    </row>
    <row r="149" spans="1:93" x14ac:dyDescent="0.2">
      <c r="A149" s="227"/>
      <c r="B149" s="171" t="str">
        <f t="shared" si="236"/>
        <v/>
      </c>
      <c r="C149" s="230"/>
      <c r="D149" s="169"/>
      <c r="E149" s="165"/>
      <c r="F149" s="165"/>
      <c r="G149" s="165"/>
      <c r="H149" s="165"/>
      <c r="I149" s="168"/>
      <c r="J149" s="167"/>
      <c r="K149" s="168"/>
      <c r="L149" s="167"/>
      <c r="M149" s="167"/>
      <c r="N149" s="168"/>
      <c r="O149" s="168"/>
      <c r="P149" s="167"/>
      <c r="Q149" s="167"/>
      <c r="R149" s="167"/>
      <c r="S149" s="222" t="str">
        <f>IF(ISBLANK(A149),"",IF(ISNA(VLOOKUP(I149,Veg_Parameters!$A$3:$N$65,3,FALSE)),0,(VLOOKUP(I149,Veg_Parameters!$A$3:$N$65,3,FALSE))))</f>
        <v/>
      </c>
      <c r="T149" s="222" t="str">
        <f>IF(ISBLANK(N149),"",IF(ISNA(VLOOKUP(N149,Veg_Parameters!$A$3:$N$65,3,FALSE)),0,(VLOOKUP(N149,Veg_Parameters!$A$3:$N$65,3,FALSE))))</f>
        <v/>
      </c>
      <c r="U149" s="523">
        <f t="shared" si="218"/>
        <v>0</v>
      </c>
      <c r="V149" s="523">
        <f t="shared" si="194"/>
        <v>0</v>
      </c>
      <c r="W149" s="524">
        <f>IF(ISBLANK(A149),0,IF(ISNA(VLOOKUP($I149,Veg_Parameters!$A$3:$N$65,10,FALSE)),0,(VLOOKUP($I149,Veg_Parameters!$A$3:$N$65,10,FALSE))))</f>
        <v>0</v>
      </c>
      <c r="X149" s="524">
        <f>IF(ISBLANK(A149),0,IF(ISNA(VLOOKUP($I149,Veg_Parameters!$A$3:$N$65,11,FALSE)),0,(VLOOKUP($I149,Veg_Parameters!$A$3:$N$65,11,FALSE))))</f>
        <v>0</v>
      </c>
      <c r="Y149" s="524">
        <f>IF(ISBLANK(A149),0,IF(ISNA(VLOOKUP($I149,Veg_Parameters!$A$3:$N$65,12,FALSE)),0,(VLOOKUP($I149,Veg_Parameters!$A$3:$N$65,12,FALSE))))</f>
        <v>0</v>
      </c>
      <c r="Z149" s="525">
        <f t="shared" si="195"/>
        <v>0</v>
      </c>
      <c r="AA149" s="525">
        <f t="shared" si="196"/>
        <v>0</v>
      </c>
      <c r="AB149" s="525">
        <f t="shared" si="197"/>
        <v>0</v>
      </c>
      <c r="AC149" s="524">
        <f>IF(ISBLANK(N149),0,IF(ISNA(VLOOKUP($N149,Veg_Parameters!$A$3:$N$65,10,FALSE)),0,(VLOOKUP($N149,Veg_Parameters!$A$3:$N$65,10,FALSE))))</f>
        <v>0</v>
      </c>
      <c r="AD149" s="524">
        <f>IF(ISBLANK(N149),0,IF(ISNA(VLOOKUP($N149,Veg_Parameters!$A$3:$N$65,11,FALSE)),0,(VLOOKUP($N149,Veg_Parameters!$A$3:$N$65,11,FALSE))))</f>
        <v>0</v>
      </c>
      <c r="AE149" s="524">
        <f>IF(ISBLANK(N149), 0, IF(ISNA(VLOOKUP($N149,Veg_Parameters!$A$3:$N$65,12,FALSE)),0,(VLOOKUP($N149,Veg_Parameters!$A$3:$N$65,12,FALSE))))</f>
        <v>0</v>
      </c>
      <c r="AF149" s="523">
        <f t="shared" si="198"/>
        <v>0</v>
      </c>
      <c r="AG149" s="523">
        <f t="shared" si="199"/>
        <v>0</v>
      </c>
      <c r="AH149" s="523">
        <f t="shared" si="200"/>
        <v>0</v>
      </c>
      <c r="AI149" s="526"/>
      <c r="AJ149" s="527">
        <f>AB149*(IF(ISNA(VLOOKUP($I149,Veg_Parameters!$A$3:$N$65,5,FALSE)),0,(VLOOKUP($I149,Veg_Parameters!$A$3:$N$65,5,FALSE))))</f>
        <v>0</v>
      </c>
      <c r="AK149" s="527">
        <f>IF(ISNA(VLOOKUP($I149,Veg_Parameters!$A$3:$N$65,4,FALSE)),0,(VLOOKUP($I149,Veg_Parameters!$A$3:$N$65,4,FALSE)))</f>
        <v>0</v>
      </c>
      <c r="AL149" s="527">
        <f>AB149*(IF(ISNA(VLOOKUP($I149,Veg_Parameters!$A$3:$N$65,7,FALSE)),0, (VLOOKUP($I149,Veg_Parameters!$A$3:$N$65,7,FALSE))))</f>
        <v>0</v>
      </c>
      <c r="AM149" s="528">
        <f>IF(ISNA(VLOOKUP($I149,Veg_Parameters!$A$3:$N$65,6,FALSE)), 0, (VLOOKUP($I149,Veg_Parameters!$A$3:$N$65,6,FALSE)))</f>
        <v>0</v>
      </c>
      <c r="AN149" s="529">
        <f t="shared" si="201"/>
        <v>20</v>
      </c>
      <c r="AO149" s="529">
        <f t="shared" si="202"/>
        <v>0</v>
      </c>
      <c r="AP149" s="529">
        <f t="shared" si="203"/>
        <v>0</v>
      </c>
      <c r="AQ149" s="530">
        <f t="shared" si="219"/>
        <v>0</v>
      </c>
      <c r="AR149" s="527" t="s">
        <v>3</v>
      </c>
      <c r="AS149" s="527">
        <f>IF(ISNA(VLOOKUP($I149,Veg_Parameters!$A$3:$N$65,8,FALSE)), 0, (VLOOKUP($I149,Veg_Parameters!$A$3:$N$65,8,FALSE)))</f>
        <v>0</v>
      </c>
      <c r="AT149" s="527">
        <f>AB149*(IF(ISNA(VLOOKUP($I149,Veg_Parameters!$A$3:$N$65,9,FALSE)), 0, (VLOOKUP($I149,Veg_Parameters!$A$3:$N$65,9,FALSE))))</f>
        <v>0</v>
      </c>
      <c r="AU149" s="527">
        <f>IF(ISBLANK(A149),0,VLOOKUP($I149,Veg_Parameters!$A$4:$U$65,21,))</f>
        <v>0</v>
      </c>
      <c r="AV149" s="527">
        <f t="shared" si="220"/>
        <v>0</v>
      </c>
      <c r="AW149" s="529">
        <f t="shared" si="221"/>
        <v>0</v>
      </c>
      <c r="AX149" s="529">
        <f t="shared" si="222"/>
        <v>0</v>
      </c>
      <c r="AY149" s="529">
        <f t="shared" si="204"/>
        <v>0</v>
      </c>
      <c r="AZ149" s="529">
        <f t="shared" si="223"/>
        <v>0</v>
      </c>
      <c r="BA149" s="529">
        <f t="shared" si="224"/>
        <v>0</v>
      </c>
      <c r="BB149" s="529">
        <f t="shared" si="225"/>
        <v>0</v>
      </c>
      <c r="BC149" s="529">
        <f t="shared" si="205"/>
        <v>0</v>
      </c>
      <c r="BD149" s="531"/>
      <c r="BE149" s="527">
        <f>AH149*(IF(ISNA(VLOOKUP($N149,Veg_Parameters!$A$3:$N$65,5,FALSE)),0,(VLOOKUP($N149,Veg_Parameters!$A$3:$N$65,5,FALSE))))</f>
        <v>0</v>
      </c>
      <c r="BF149" s="527">
        <f>IF(ISNA(VLOOKUP($N149,Veg_Parameters!$A$3:$N$65,4,FALSE)),0,(VLOOKUP($N149,Veg_Parameters!$A$3:$N$65,4,FALSE)))</f>
        <v>0</v>
      </c>
      <c r="BG149" s="527">
        <f>AH149*(IF(ISNA(VLOOKUP($N149,Veg_Parameters!$A$3:$N$65,7,FALSE)),0, (VLOOKUP($N149,Veg_Parameters!$A$3:$N$65,7,FALSE))))</f>
        <v>0</v>
      </c>
      <c r="BH149" s="527">
        <f>IF(ISNA(VLOOKUP($N149,Veg_Parameters!$A$3:$N$65,6,FALSE)), 0, (VLOOKUP($N149,Veg_Parameters!$A$3:$N$65,6,FALSE)))</f>
        <v>0</v>
      </c>
      <c r="BI149" s="529">
        <f t="shared" si="206"/>
        <v>20</v>
      </c>
      <c r="BJ149" s="529">
        <f t="shared" si="226"/>
        <v>0</v>
      </c>
      <c r="BK149" s="529">
        <f t="shared" si="207"/>
        <v>0</v>
      </c>
      <c r="BL149" s="530">
        <f t="shared" si="227"/>
        <v>0</v>
      </c>
      <c r="BM149" s="527" t="s">
        <v>3</v>
      </c>
      <c r="BN149" s="527">
        <f>IF(ISNA(VLOOKUP(N149,Veg_Parameters!$A$3:$N$65,8,FALSE)), 0, (VLOOKUP($N149,Veg_Parameters!$A$3:$N$65,8,FALSE)))</f>
        <v>0</v>
      </c>
      <c r="BO149" s="527">
        <f>AH149*(IF(ISNA(VLOOKUP($N149,Veg_Parameters!$A$3:$N$65,9,FALSE)), 0, (VLOOKUP($N149,Veg_Parameters!$A$3:$N$65,9,FALSE))))</f>
        <v>0</v>
      </c>
      <c r="BP149" s="527" t="str">
        <f>IF(ISBLANK(N149),"0",VLOOKUP($N149,Veg_Parameters!$A$4:$U$65,21,))</f>
        <v>0</v>
      </c>
      <c r="BQ149" s="529">
        <f t="shared" si="228"/>
        <v>0</v>
      </c>
      <c r="BR149" s="529">
        <f t="shared" si="229"/>
        <v>0</v>
      </c>
      <c r="BS149" s="529">
        <f t="shared" si="208"/>
        <v>0</v>
      </c>
      <c r="BT149" s="529">
        <f t="shared" si="230"/>
        <v>0</v>
      </c>
      <c r="BU149" s="529">
        <f t="shared" si="231"/>
        <v>0</v>
      </c>
      <c r="BV149" s="529">
        <f t="shared" si="232"/>
        <v>0</v>
      </c>
      <c r="BW149" s="532" t="str">
        <f t="shared" si="209"/>
        <v/>
      </c>
      <c r="BX149" s="532" t="str">
        <f t="shared" si="210"/>
        <v/>
      </c>
      <c r="BY149" s="532" t="str">
        <f t="shared" si="211"/>
        <v/>
      </c>
      <c r="BZ149" s="532" t="str">
        <f t="shared" si="212"/>
        <v/>
      </c>
      <c r="CA149" s="532">
        <f t="shared" si="213"/>
        <v>0</v>
      </c>
      <c r="CB149" s="533"/>
      <c r="CC149" s="624">
        <f t="shared" si="214"/>
        <v>0</v>
      </c>
      <c r="CD149" s="534">
        <f t="shared" si="215"/>
        <v>0</v>
      </c>
      <c r="CE149" s="534">
        <f t="shared" si="216"/>
        <v>0</v>
      </c>
      <c r="CF149" s="534">
        <f t="shared" si="217"/>
        <v>0</v>
      </c>
      <c r="CG149" s="534"/>
      <c r="CH149" s="534"/>
      <c r="CI149" s="534">
        <f t="shared" si="233"/>
        <v>0</v>
      </c>
      <c r="CL149" s="534">
        <f>IF(ISNA(VLOOKUP(I149,Veg_Parameters!$A$3:$N$65,13,FALSE)),0,(VLOOKUP(I149,Veg_Parameters!$A$3:$N$65,13,FALSE)))</f>
        <v>0</v>
      </c>
      <c r="CM149" s="534">
        <f t="shared" si="234"/>
        <v>0</v>
      </c>
      <c r="CN149" s="534">
        <f>IF(ISNA(VLOOKUP(N149,Veg_Parameters!$A$3:$N$65,13,FALSE)),0,(VLOOKUP(N149,Veg_Parameters!$A$3:$N$65,13,FALSE)))</f>
        <v>0</v>
      </c>
      <c r="CO149" s="523">
        <f t="shared" si="235"/>
        <v>0</v>
      </c>
    </row>
    <row r="150" spans="1:93" x14ac:dyDescent="0.2">
      <c r="A150" s="227"/>
      <c r="B150" s="171" t="str">
        <f t="shared" si="236"/>
        <v/>
      </c>
      <c r="C150" s="230"/>
      <c r="D150" s="169"/>
      <c r="E150" s="165"/>
      <c r="F150" s="165"/>
      <c r="G150" s="165"/>
      <c r="H150" s="165"/>
      <c r="I150" s="168"/>
      <c r="J150" s="167"/>
      <c r="K150" s="168"/>
      <c r="L150" s="167"/>
      <c r="M150" s="167"/>
      <c r="N150" s="168"/>
      <c r="O150" s="168"/>
      <c r="P150" s="167"/>
      <c r="Q150" s="167"/>
      <c r="R150" s="167"/>
      <c r="S150" s="222" t="str">
        <f>IF(ISBLANK(A150),"",IF(ISNA(VLOOKUP(I150,Veg_Parameters!$A$3:$N$65,3,FALSE)),0,(VLOOKUP(I150,Veg_Parameters!$A$3:$N$65,3,FALSE))))</f>
        <v/>
      </c>
      <c r="T150" s="222" t="str">
        <f>IF(ISBLANK(N150),"",IF(ISNA(VLOOKUP(N150,Veg_Parameters!$A$3:$N$65,3,FALSE)),0,(VLOOKUP(N150,Veg_Parameters!$A$3:$N$65,3,FALSE))))</f>
        <v/>
      </c>
      <c r="U150" s="523">
        <f t="shared" si="218"/>
        <v>0</v>
      </c>
      <c r="V150" s="523">
        <f t="shared" si="194"/>
        <v>0</v>
      </c>
      <c r="W150" s="524">
        <f>IF(ISBLANK(A150),0,IF(ISNA(VLOOKUP($I150,Veg_Parameters!$A$3:$N$65,10,FALSE)),0,(VLOOKUP($I150,Veg_Parameters!$A$3:$N$65,10,FALSE))))</f>
        <v>0</v>
      </c>
      <c r="X150" s="524">
        <f>IF(ISBLANK(A150),0,IF(ISNA(VLOOKUP($I150,Veg_Parameters!$A$3:$N$65,11,FALSE)),0,(VLOOKUP($I150,Veg_Parameters!$A$3:$N$65,11,FALSE))))</f>
        <v>0</v>
      </c>
      <c r="Y150" s="524">
        <f>IF(ISBLANK(A150),0,IF(ISNA(VLOOKUP($I150,Veg_Parameters!$A$3:$N$65,12,FALSE)),0,(VLOOKUP($I150,Veg_Parameters!$A$3:$N$65,12,FALSE))))</f>
        <v>0</v>
      </c>
      <c r="Z150" s="525">
        <f t="shared" si="195"/>
        <v>0</v>
      </c>
      <c r="AA150" s="525">
        <f t="shared" si="196"/>
        <v>0</v>
      </c>
      <c r="AB150" s="525">
        <f t="shared" si="197"/>
        <v>0</v>
      </c>
      <c r="AC150" s="524">
        <f>IF(ISBLANK(N150),0,IF(ISNA(VLOOKUP($N150,Veg_Parameters!$A$3:$N$65,10,FALSE)),0,(VLOOKUP($N150,Veg_Parameters!$A$3:$N$65,10,FALSE))))</f>
        <v>0</v>
      </c>
      <c r="AD150" s="524">
        <f>IF(ISBLANK(N150),0,IF(ISNA(VLOOKUP($N150,Veg_Parameters!$A$3:$N$65,11,FALSE)),0,(VLOOKUP($N150,Veg_Parameters!$A$3:$N$65,11,FALSE))))</f>
        <v>0</v>
      </c>
      <c r="AE150" s="524">
        <f>IF(ISBLANK(N150), 0, IF(ISNA(VLOOKUP($N150,Veg_Parameters!$A$3:$N$65,12,FALSE)),0,(VLOOKUP($N150,Veg_Parameters!$A$3:$N$65,12,FALSE))))</f>
        <v>0</v>
      </c>
      <c r="AF150" s="523">
        <f t="shared" si="198"/>
        <v>0</v>
      </c>
      <c r="AG150" s="523">
        <f t="shared" si="199"/>
        <v>0</v>
      </c>
      <c r="AH150" s="523">
        <f t="shared" si="200"/>
        <v>0</v>
      </c>
      <c r="AI150" s="526"/>
      <c r="AJ150" s="527">
        <f>AB150*(IF(ISNA(VLOOKUP($I150,Veg_Parameters!$A$3:$N$65,5,FALSE)),0,(VLOOKUP($I150,Veg_Parameters!$A$3:$N$65,5,FALSE))))</f>
        <v>0</v>
      </c>
      <c r="AK150" s="527">
        <f>IF(ISNA(VLOOKUP($I150,Veg_Parameters!$A$3:$N$65,4,FALSE)),0,(VLOOKUP($I150,Veg_Parameters!$A$3:$N$65,4,FALSE)))</f>
        <v>0</v>
      </c>
      <c r="AL150" s="527">
        <f>AB150*(IF(ISNA(VLOOKUP($I150,Veg_Parameters!$A$3:$N$65,7,FALSE)),0, (VLOOKUP($I150,Veg_Parameters!$A$3:$N$65,7,FALSE))))</f>
        <v>0</v>
      </c>
      <c r="AM150" s="528">
        <f>IF(ISNA(VLOOKUP($I150,Veg_Parameters!$A$3:$N$65,6,FALSE)), 0, (VLOOKUP($I150,Veg_Parameters!$A$3:$N$65,6,FALSE)))</f>
        <v>0</v>
      </c>
      <c r="AN150" s="529">
        <f t="shared" si="201"/>
        <v>20</v>
      </c>
      <c r="AO150" s="529">
        <f t="shared" si="202"/>
        <v>0</v>
      </c>
      <c r="AP150" s="529">
        <f t="shared" si="203"/>
        <v>0</v>
      </c>
      <c r="AQ150" s="530">
        <f t="shared" si="219"/>
        <v>0</v>
      </c>
      <c r="AR150" s="527" t="s">
        <v>3</v>
      </c>
      <c r="AS150" s="527">
        <f>IF(ISNA(VLOOKUP($I150,Veg_Parameters!$A$3:$N$65,8,FALSE)), 0, (VLOOKUP($I150,Veg_Parameters!$A$3:$N$65,8,FALSE)))</f>
        <v>0</v>
      </c>
      <c r="AT150" s="527">
        <f>AB150*(IF(ISNA(VLOOKUP($I150,Veg_Parameters!$A$3:$N$65,9,FALSE)), 0, (VLOOKUP($I150,Veg_Parameters!$A$3:$N$65,9,FALSE))))</f>
        <v>0</v>
      </c>
      <c r="AU150" s="527">
        <f>IF(ISBLANK(A150),0,VLOOKUP($I150,Veg_Parameters!$A$4:$U$65,21,))</f>
        <v>0</v>
      </c>
      <c r="AV150" s="527">
        <f t="shared" si="220"/>
        <v>0</v>
      </c>
      <c r="AW150" s="529">
        <f t="shared" si="221"/>
        <v>0</v>
      </c>
      <c r="AX150" s="529">
        <f t="shared" si="222"/>
        <v>0</v>
      </c>
      <c r="AY150" s="529">
        <f t="shared" si="204"/>
        <v>0</v>
      </c>
      <c r="AZ150" s="529">
        <f t="shared" si="223"/>
        <v>0</v>
      </c>
      <c r="BA150" s="529">
        <f t="shared" si="224"/>
        <v>0</v>
      </c>
      <c r="BB150" s="529">
        <f t="shared" si="225"/>
        <v>0</v>
      </c>
      <c r="BC150" s="529">
        <f t="shared" si="205"/>
        <v>0</v>
      </c>
      <c r="BD150" s="531"/>
      <c r="BE150" s="527">
        <f>AH150*(IF(ISNA(VLOOKUP($N150,Veg_Parameters!$A$3:$N$65,5,FALSE)),0,(VLOOKUP($N150,Veg_Parameters!$A$3:$N$65,5,FALSE))))</f>
        <v>0</v>
      </c>
      <c r="BF150" s="527">
        <f>IF(ISNA(VLOOKUP($N150,Veg_Parameters!$A$3:$N$65,4,FALSE)),0,(VLOOKUP($N150,Veg_Parameters!$A$3:$N$65,4,FALSE)))</f>
        <v>0</v>
      </c>
      <c r="BG150" s="527">
        <f>AH150*(IF(ISNA(VLOOKUP($N150,Veg_Parameters!$A$3:$N$65,7,FALSE)),0, (VLOOKUP($N150,Veg_Parameters!$A$3:$N$65,7,FALSE))))</f>
        <v>0</v>
      </c>
      <c r="BH150" s="527">
        <f>IF(ISNA(VLOOKUP($N150,Veg_Parameters!$A$3:$N$65,6,FALSE)), 0, (VLOOKUP($N150,Veg_Parameters!$A$3:$N$65,6,FALSE)))</f>
        <v>0</v>
      </c>
      <c r="BI150" s="529">
        <f t="shared" si="206"/>
        <v>20</v>
      </c>
      <c r="BJ150" s="529">
        <f t="shared" si="226"/>
        <v>0</v>
      </c>
      <c r="BK150" s="529">
        <f t="shared" si="207"/>
        <v>0</v>
      </c>
      <c r="BL150" s="530">
        <f t="shared" si="227"/>
        <v>0</v>
      </c>
      <c r="BM150" s="527" t="s">
        <v>3</v>
      </c>
      <c r="BN150" s="527">
        <f>IF(ISNA(VLOOKUP(N150,Veg_Parameters!$A$3:$N$65,8,FALSE)), 0, (VLOOKUP($N150,Veg_Parameters!$A$3:$N$65,8,FALSE)))</f>
        <v>0</v>
      </c>
      <c r="BO150" s="527">
        <f>AH150*(IF(ISNA(VLOOKUP($N150,Veg_Parameters!$A$3:$N$65,9,FALSE)), 0, (VLOOKUP($N150,Veg_Parameters!$A$3:$N$65,9,FALSE))))</f>
        <v>0</v>
      </c>
      <c r="BP150" s="527" t="str">
        <f>IF(ISBLANK(N150),"0",VLOOKUP($N150,Veg_Parameters!$A$4:$U$65,21,))</f>
        <v>0</v>
      </c>
      <c r="BQ150" s="529">
        <f t="shared" si="228"/>
        <v>0</v>
      </c>
      <c r="BR150" s="529">
        <f t="shared" si="229"/>
        <v>0</v>
      </c>
      <c r="BS150" s="529">
        <f t="shared" si="208"/>
        <v>0</v>
      </c>
      <c r="BT150" s="529">
        <f t="shared" si="230"/>
        <v>0</v>
      </c>
      <c r="BU150" s="529">
        <f t="shared" si="231"/>
        <v>0</v>
      </c>
      <c r="BV150" s="529">
        <f t="shared" si="232"/>
        <v>0</v>
      </c>
      <c r="BW150" s="532" t="str">
        <f t="shared" si="209"/>
        <v/>
      </c>
      <c r="BX150" s="532" t="str">
        <f t="shared" si="210"/>
        <v/>
      </c>
      <c r="BY150" s="532" t="str">
        <f t="shared" si="211"/>
        <v/>
      </c>
      <c r="BZ150" s="532" t="str">
        <f t="shared" si="212"/>
        <v/>
      </c>
      <c r="CA150" s="532">
        <f t="shared" si="213"/>
        <v>0</v>
      </c>
      <c r="CB150" s="533"/>
      <c r="CC150" s="624">
        <f t="shared" si="214"/>
        <v>0</v>
      </c>
      <c r="CD150" s="534">
        <f t="shared" si="215"/>
        <v>0</v>
      </c>
      <c r="CE150" s="534">
        <f t="shared" si="216"/>
        <v>0</v>
      </c>
      <c r="CF150" s="534">
        <f t="shared" si="217"/>
        <v>0</v>
      </c>
      <c r="CG150" s="534"/>
      <c r="CH150" s="534"/>
      <c r="CI150" s="534">
        <f t="shared" si="233"/>
        <v>0</v>
      </c>
      <c r="CL150" s="534">
        <f>IF(ISNA(VLOOKUP(I150,Veg_Parameters!$A$3:$N$65,13,FALSE)),0,(VLOOKUP(I150,Veg_Parameters!$A$3:$N$65,13,FALSE)))</f>
        <v>0</v>
      </c>
      <c r="CM150" s="534">
        <f t="shared" si="234"/>
        <v>0</v>
      </c>
      <c r="CN150" s="534">
        <f>IF(ISNA(VLOOKUP(N150,Veg_Parameters!$A$3:$N$65,13,FALSE)),0,(VLOOKUP(N150,Veg_Parameters!$A$3:$N$65,13,FALSE)))</f>
        <v>0</v>
      </c>
      <c r="CO150" s="523">
        <f t="shared" si="235"/>
        <v>0</v>
      </c>
    </row>
    <row r="151" spans="1:93" x14ac:dyDescent="0.2">
      <c r="A151" s="227"/>
      <c r="B151" s="171" t="str">
        <f t="shared" si="236"/>
        <v/>
      </c>
      <c r="C151" s="230"/>
      <c r="D151" s="169"/>
      <c r="E151" s="165"/>
      <c r="F151" s="165"/>
      <c r="G151" s="165"/>
      <c r="H151" s="165"/>
      <c r="I151" s="168"/>
      <c r="J151" s="167"/>
      <c r="K151" s="168"/>
      <c r="L151" s="167"/>
      <c r="M151" s="167"/>
      <c r="N151" s="168"/>
      <c r="O151" s="168"/>
      <c r="P151" s="167"/>
      <c r="Q151" s="167"/>
      <c r="R151" s="167"/>
      <c r="S151" s="222" t="str">
        <f>IF(ISBLANK(A151),"",IF(ISNA(VLOOKUP(I151,Veg_Parameters!$A$3:$N$65,3,FALSE)),0,(VLOOKUP(I151,Veg_Parameters!$A$3:$N$65,3,FALSE))))</f>
        <v/>
      </c>
      <c r="T151" s="222" t="str">
        <f>IF(ISBLANK(N151),"",IF(ISNA(VLOOKUP(N151,Veg_Parameters!$A$3:$N$65,3,FALSE)),0,(VLOOKUP(N151,Veg_Parameters!$A$3:$N$65,3,FALSE))))</f>
        <v/>
      </c>
      <c r="U151" s="523">
        <f t="shared" si="218"/>
        <v>0</v>
      </c>
      <c r="V151" s="523">
        <f t="shared" si="194"/>
        <v>0</v>
      </c>
      <c r="W151" s="524">
        <f>IF(ISBLANK(A151),0,IF(ISNA(VLOOKUP($I151,Veg_Parameters!$A$3:$N$65,10,FALSE)),0,(VLOOKUP($I151,Veg_Parameters!$A$3:$N$65,10,FALSE))))</f>
        <v>0</v>
      </c>
      <c r="X151" s="524">
        <f>IF(ISBLANK(A151),0,IF(ISNA(VLOOKUP($I151,Veg_Parameters!$A$3:$N$65,11,FALSE)),0,(VLOOKUP($I151,Veg_Parameters!$A$3:$N$65,11,FALSE))))</f>
        <v>0</v>
      </c>
      <c r="Y151" s="524">
        <f>IF(ISBLANK(A151),0,IF(ISNA(VLOOKUP($I151,Veg_Parameters!$A$3:$N$65,12,FALSE)),0,(VLOOKUP($I151,Veg_Parameters!$A$3:$N$65,12,FALSE))))</f>
        <v>0</v>
      </c>
      <c r="Z151" s="525">
        <f t="shared" si="195"/>
        <v>0</v>
      </c>
      <c r="AA151" s="525">
        <f t="shared" si="196"/>
        <v>0</v>
      </c>
      <c r="AB151" s="525">
        <f t="shared" si="197"/>
        <v>0</v>
      </c>
      <c r="AC151" s="524">
        <f>IF(ISBLANK(N151),0,IF(ISNA(VLOOKUP($N151,Veg_Parameters!$A$3:$N$65,10,FALSE)),0,(VLOOKUP($N151,Veg_Parameters!$A$3:$N$65,10,FALSE))))</f>
        <v>0</v>
      </c>
      <c r="AD151" s="524">
        <f>IF(ISBLANK(N151),0,IF(ISNA(VLOOKUP($N151,Veg_Parameters!$A$3:$N$65,11,FALSE)),0,(VLOOKUP($N151,Veg_Parameters!$A$3:$N$65,11,FALSE))))</f>
        <v>0</v>
      </c>
      <c r="AE151" s="524">
        <f>IF(ISBLANK(N151), 0, IF(ISNA(VLOOKUP($N151,Veg_Parameters!$A$3:$N$65,12,FALSE)),0,(VLOOKUP($N151,Veg_Parameters!$A$3:$N$65,12,FALSE))))</f>
        <v>0</v>
      </c>
      <c r="AF151" s="523">
        <f t="shared" si="198"/>
        <v>0</v>
      </c>
      <c r="AG151" s="523">
        <f t="shared" si="199"/>
        <v>0</v>
      </c>
      <c r="AH151" s="523">
        <f t="shared" si="200"/>
        <v>0</v>
      </c>
      <c r="AI151" s="526"/>
      <c r="AJ151" s="527">
        <f>AB151*(IF(ISNA(VLOOKUP($I151,Veg_Parameters!$A$3:$N$65,5,FALSE)),0,(VLOOKUP($I151,Veg_Parameters!$A$3:$N$65,5,FALSE))))</f>
        <v>0</v>
      </c>
      <c r="AK151" s="527">
        <f>IF(ISNA(VLOOKUP($I151,Veg_Parameters!$A$3:$N$65,4,FALSE)),0,(VLOOKUP($I151,Veg_Parameters!$A$3:$N$65,4,FALSE)))</f>
        <v>0</v>
      </c>
      <c r="AL151" s="527">
        <f>AB151*(IF(ISNA(VLOOKUP($I151,Veg_Parameters!$A$3:$N$65,7,FALSE)),0, (VLOOKUP($I151,Veg_Parameters!$A$3:$N$65,7,FALSE))))</f>
        <v>0</v>
      </c>
      <c r="AM151" s="528">
        <f>IF(ISNA(VLOOKUP($I151,Veg_Parameters!$A$3:$N$65,6,FALSE)), 0, (VLOOKUP($I151,Veg_Parameters!$A$3:$N$65,6,FALSE)))</f>
        <v>0</v>
      </c>
      <c r="AN151" s="529">
        <f t="shared" si="201"/>
        <v>20</v>
      </c>
      <c r="AO151" s="529">
        <f t="shared" si="202"/>
        <v>0</v>
      </c>
      <c r="AP151" s="529">
        <f t="shared" si="203"/>
        <v>0</v>
      </c>
      <c r="AQ151" s="530">
        <f t="shared" si="219"/>
        <v>0</v>
      </c>
      <c r="AR151" s="527" t="s">
        <v>3</v>
      </c>
      <c r="AS151" s="527">
        <f>IF(ISNA(VLOOKUP($I151,Veg_Parameters!$A$3:$N$65,8,FALSE)), 0, (VLOOKUP($I151,Veg_Parameters!$A$3:$N$65,8,FALSE)))</f>
        <v>0</v>
      </c>
      <c r="AT151" s="527">
        <f>AB151*(IF(ISNA(VLOOKUP($I151,Veg_Parameters!$A$3:$N$65,9,FALSE)), 0, (VLOOKUP($I151,Veg_Parameters!$A$3:$N$65,9,FALSE))))</f>
        <v>0</v>
      </c>
      <c r="AU151" s="527">
        <f>IF(ISBLANK(A151),0,VLOOKUP($I151,Veg_Parameters!$A$4:$U$65,21,))</f>
        <v>0</v>
      </c>
      <c r="AV151" s="527">
        <f t="shared" si="220"/>
        <v>0</v>
      </c>
      <c r="AW151" s="529">
        <f t="shared" si="221"/>
        <v>0</v>
      </c>
      <c r="AX151" s="529">
        <f t="shared" si="222"/>
        <v>0</v>
      </c>
      <c r="AY151" s="529">
        <f t="shared" si="204"/>
        <v>0</v>
      </c>
      <c r="AZ151" s="529">
        <f t="shared" si="223"/>
        <v>0</v>
      </c>
      <c r="BA151" s="529">
        <f t="shared" si="224"/>
        <v>0</v>
      </c>
      <c r="BB151" s="529">
        <f t="shared" si="225"/>
        <v>0</v>
      </c>
      <c r="BC151" s="529">
        <f t="shared" si="205"/>
        <v>0</v>
      </c>
      <c r="BD151" s="531"/>
      <c r="BE151" s="527">
        <f>AH151*(IF(ISNA(VLOOKUP($N151,Veg_Parameters!$A$3:$N$65,5,FALSE)),0,(VLOOKUP($N151,Veg_Parameters!$A$3:$N$65,5,FALSE))))</f>
        <v>0</v>
      </c>
      <c r="BF151" s="527">
        <f>IF(ISNA(VLOOKUP($N151,Veg_Parameters!$A$3:$N$65,4,FALSE)),0,(VLOOKUP($N151,Veg_Parameters!$A$3:$N$65,4,FALSE)))</f>
        <v>0</v>
      </c>
      <c r="BG151" s="527">
        <f>AH151*(IF(ISNA(VLOOKUP($N151,Veg_Parameters!$A$3:$N$65,7,FALSE)),0, (VLOOKUP($N151,Veg_Parameters!$A$3:$N$65,7,FALSE))))</f>
        <v>0</v>
      </c>
      <c r="BH151" s="527">
        <f>IF(ISNA(VLOOKUP($N151,Veg_Parameters!$A$3:$N$65,6,FALSE)), 0, (VLOOKUP($N151,Veg_Parameters!$A$3:$N$65,6,FALSE)))</f>
        <v>0</v>
      </c>
      <c r="BI151" s="529">
        <f t="shared" si="206"/>
        <v>20</v>
      </c>
      <c r="BJ151" s="529">
        <f t="shared" si="226"/>
        <v>0</v>
      </c>
      <c r="BK151" s="529">
        <f t="shared" si="207"/>
        <v>0</v>
      </c>
      <c r="BL151" s="530">
        <f t="shared" si="227"/>
        <v>0</v>
      </c>
      <c r="BM151" s="527" t="s">
        <v>3</v>
      </c>
      <c r="BN151" s="527">
        <f>IF(ISNA(VLOOKUP(N151,Veg_Parameters!$A$3:$N$65,8,FALSE)), 0, (VLOOKUP($N151,Veg_Parameters!$A$3:$N$65,8,FALSE)))</f>
        <v>0</v>
      </c>
      <c r="BO151" s="527">
        <f>AH151*(IF(ISNA(VLOOKUP($N151,Veg_Parameters!$A$3:$N$65,9,FALSE)), 0, (VLOOKUP($N151,Veg_Parameters!$A$3:$N$65,9,FALSE))))</f>
        <v>0</v>
      </c>
      <c r="BP151" s="527" t="str">
        <f>IF(ISBLANK(N151),"0",VLOOKUP($N151,Veg_Parameters!$A$4:$U$65,21,))</f>
        <v>0</v>
      </c>
      <c r="BQ151" s="529">
        <f t="shared" si="228"/>
        <v>0</v>
      </c>
      <c r="BR151" s="529">
        <f t="shared" si="229"/>
        <v>0</v>
      </c>
      <c r="BS151" s="529">
        <f t="shared" si="208"/>
        <v>0</v>
      </c>
      <c r="BT151" s="529">
        <f t="shared" si="230"/>
        <v>0</v>
      </c>
      <c r="BU151" s="529">
        <f t="shared" si="231"/>
        <v>0</v>
      </c>
      <c r="BV151" s="529">
        <f t="shared" si="232"/>
        <v>0</v>
      </c>
      <c r="BW151" s="532" t="str">
        <f t="shared" si="209"/>
        <v/>
      </c>
      <c r="BX151" s="532" t="str">
        <f t="shared" si="210"/>
        <v/>
      </c>
      <c r="BY151" s="532" t="str">
        <f t="shared" si="211"/>
        <v/>
      </c>
      <c r="BZ151" s="532" t="str">
        <f t="shared" si="212"/>
        <v/>
      </c>
      <c r="CA151" s="532">
        <f t="shared" si="213"/>
        <v>0</v>
      </c>
      <c r="CB151" s="533"/>
      <c r="CC151" s="624">
        <f t="shared" si="214"/>
        <v>0</v>
      </c>
      <c r="CD151" s="534">
        <f t="shared" si="215"/>
        <v>0</v>
      </c>
      <c r="CE151" s="534">
        <f t="shared" si="216"/>
        <v>0</v>
      </c>
      <c r="CF151" s="534">
        <f t="shared" si="217"/>
        <v>0</v>
      </c>
      <c r="CG151" s="534"/>
      <c r="CH151" s="534"/>
      <c r="CI151" s="534">
        <f t="shared" si="233"/>
        <v>0</v>
      </c>
      <c r="CL151" s="534">
        <f>IF(ISNA(VLOOKUP(I151,Veg_Parameters!$A$3:$N$65,13,FALSE)),0,(VLOOKUP(I151,Veg_Parameters!$A$3:$N$65,13,FALSE)))</f>
        <v>0</v>
      </c>
      <c r="CM151" s="534">
        <f t="shared" si="234"/>
        <v>0</v>
      </c>
      <c r="CN151" s="534">
        <f>IF(ISNA(VLOOKUP(N151,Veg_Parameters!$A$3:$N$65,13,FALSE)),0,(VLOOKUP(N151,Veg_Parameters!$A$3:$N$65,13,FALSE)))</f>
        <v>0</v>
      </c>
      <c r="CO151" s="523">
        <f t="shared" si="235"/>
        <v>0</v>
      </c>
    </row>
    <row r="152" spans="1:93" x14ac:dyDescent="0.2">
      <c r="A152" s="227"/>
      <c r="B152" s="171" t="str">
        <f t="shared" si="236"/>
        <v/>
      </c>
      <c r="C152" s="230"/>
      <c r="D152" s="169"/>
      <c r="E152" s="165"/>
      <c r="F152" s="165"/>
      <c r="G152" s="165"/>
      <c r="H152" s="165"/>
      <c r="I152" s="168"/>
      <c r="J152" s="167"/>
      <c r="K152" s="168"/>
      <c r="L152" s="167"/>
      <c r="M152" s="167"/>
      <c r="N152" s="168"/>
      <c r="O152" s="168"/>
      <c r="P152" s="167"/>
      <c r="Q152" s="167"/>
      <c r="R152" s="167"/>
      <c r="S152" s="222" t="str">
        <f>IF(ISBLANK(A152),"",IF(ISNA(VLOOKUP(I152,Veg_Parameters!$A$3:$N$65,3,FALSE)),0,(VLOOKUP(I152,Veg_Parameters!$A$3:$N$65,3,FALSE))))</f>
        <v/>
      </c>
      <c r="T152" s="222" t="str">
        <f>IF(ISBLANK(N152),"",IF(ISNA(VLOOKUP(N152,Veg_Parameters!$A$3:$N$65,3,FALSE)),0,(VLOOKUP(N152,Veg_Parameters!$A$3:$N$65,3,FALSE))))</f>
        <v/>
      </c>
      <c r="U152" s="523">
        <f t="shared" si="218"/>
        <v>0</v>
      </c>
      <c r="V152" s="523">
        <f t="shared" si="194"/>
        <v>0</v>
      </c>
      <c r="W152" s="524">
        <f>IF(ISBLANK(A152),0,IF(ISNA(VLOOKUP($I152,Veg_Parameters!$A$3:$N$65,10,FALSE)),0,(VLOOKUP($I152,Veg_Parameters!$A$3:$N$65,10,FALSE))))</f>
        <v>0</v>
      </c>
      <c r="X152" s="524">
        <f>IF(ISBLANK(A152),0,IF(ISNA(VLOOKUP($I152,Veg_Parameters!$A$3:$N$65,11,FALSE)),0,(VLOOKUP($I152,Veg_Parameters!$A$3:$N$65,11,FALSE))))</f>
        <v>0</v>
      </c>
      <c r="Y152" s="524">
        <f>IF(ISBLANK(A152),0,IF(ISNA(VLOOKUP($I152,Veg_Parameters!$A$3:$N$65,12,FALSE)),0,(VLOOKUP($I152,Veg_Parameters!$A$3:$N$65,12,FALSE))))</f>
        <v>0</v>
      </c>
      <c r="Z152" s="525">
        <f t="shared" si="195"/>
        <v>0</v>
      </c>
      <c r="AA152" s="525">
        <f t="shared" si="196"/>
        <v>0</v>
      </c>
      <c r="AB152" s="525">
        <f t="shared" si="197"/>
        <v>0</v>
      </c>
      <c r="AC152" s="524">
        <f>IF(ISBLANK(N152),0,IF(ISNA(VLOOKUP($N152,Veg_Parameters!$A$3:$N$65,10,FALSE)),0,(VLOOKUP($N152,Veg_Parameters!$A$3:$N$65,10,FALSE))))</f>
        <v>0</v>
      </c>
      <c r="AD152" s="524">
        <f>IF(ISBLANK(N152),0,IF(ISNA(VLOOKUP($N152,Veg_Parameters!$A$3:$N$65,11,FALSE)),0,(VLOOKUP($N152,Veg_Parameters!$A$3:$N$65,11,FALSE))))</f>
        <v>0</v>
      </c>
      <c r="AE152" s="524">
        <f>IF(ISBLANK(N152), 0, IF(ISNA(VLOOKUP($N152,Veg_Parameters!$A$3:$N$65,12,FALSE)),0,(VLOOKUP($N152,Veg_Parameters!$A$3:$N$65,12,FALSE))))</f>
        <v>0</v>
      </c>
      <c r="AF152" s="523">
        <f t="shared" si="198"/>
        <v>0</v>
      </c>
      <c r="AG152" s="523">
        <f t="shared" si="199"/>
        <v>0</v>
      </c>
      <c r="AH152" s="523">
        <f t="shared" si="200"/>
        <v>0</v>
      </c>
      <c r="AI152" s="526"/>
      <c r="AJ152" s="527">
        <f>AB152*(IF(ISNA(VLOOKUP($I152,Veg_Parameters!$A$3:$N$65,5,FALSE)),0,(VLOOKUP($I152,Veg_Parameters!$A$3:$N$65,5,FALSE))))</f>
        <v>0</v>
      </c>
      <c r="AK152" s="527">
        <f>IF(ISNA(VLOOKUP($I152,Veg_Parameters!$A$3:$N$65,4,FALSE)),0,(VLOOKUP($I152,Veg_Parameters!$A$3:$N$65,4,FALSE)))</f>
        <v>0</v>
      </c>
      <c r="AL152" s="527">
        <f>AB152*(IF(ISNA(VLOOKUP($I152,Veg_Parameters!$A$3:$N$65,7,FALSE)),0, (VLOOKUP($I152,Veg_Parameters!$A$3:$N$65,7,FALSE))))</f>
        <v>0</v>
      </c>
      <c r="AM152" s="528">
        <f>IF(ISNA(VLOOKUP($I152,Veg_Parameters!$A$3:$N$65,6,FALSE)), 0, (VLOOKUP($I152,Veg_Parameters!$A$3:$N$65,6,FALSE)))</f>
        <v>0</v>
      </c>
      <c r="AN152" s="529">
        <f t="shared" si="201"/>
        <v>20</v>
      </c>
      <c r="AO152" s="529">
        <f t="shared" si="202"/>
        <v>0</v>
      </c>
      <c r="AP152" s="529">
        <f t="shared" si="203"/>
        <v>0</v>
      </c>
      <c r="AQ152" s="530">
        <f t="shared" si="219"/>
        <v>0</v>
      </c>
      <c r="AR152" s="527" t="s">
        <v>3</v>
      </c>
      <c r="AS152" s="527">
        <f>IF(ISNA(VLOOKUP($I152,Veg_Parameters!$A$3:$N$65,8,FALSE)), 0, (VLOOKUP($I152,Veg_Parameters!$A$3:$N$65,8,FALSE)))</f>
        <v>0</v>
      </c>
      <c r="AT152" s="527">
        <f>AB152*(IF(ISNA(VLOOKUP($I152,Veg_Parameters!$A$3:$N$65,9,FALSE)), 0, (VLOOKUP($I152,Veg_Parameters!$A$3:$N$65,9,FALSE))))</f>
        <v>0</v>
      </c>
      <c r="AU152" s="527">
        <f>IF(ISBLANK(A152),0,VLOOKUP($I152,Veg_Parameters!$A$4:$U$65,21,))</f>
        <v>0</v>
      </c>
      <c r="AV152" s="527">
        <f t="shared" si="220"/>
        <v>0</v>
      </c>
      <c r="AW152" s="529">
        <f t="shared" si="221"/>
        <v>0</v>
      </c>
      <c r="AX152" s="529">
        <f t="shared" si="222"/>
        <v>0</v>
      </c>
      <c r="AY152" s="529">
        <f t="shared" si="204"/>
        <v>0</v>
      </c>
      <c r="AZ152" s="529">
        <f t="shared" si="223"/>
        <v>0</v>
      </c>
      <c r="BA152" s="529">
        <f t="shared" si="224"/>
        <v>0</v>
      </c>
      <c r="BB152" s="529">
        <f t="shared" si="225"/>
        <v>0</v>
      </c>
      <c r="BC152" s="529">
        <f t="shared" si="205"/>
        <v>0</v>
      </c>
      <c r="BD152" s="531"/>
      <c r="BE152" s="527">
        <f>AH152*(IF(ISNA(VLOOKUP($N152,Veg_Parameters!$A$3:$N$65,5,FALSE)),0,(VLOOKUP($N152,Veg_Parameters!$A$3:$N$65,5,FALSE))))</f>
        <v>0</v>
      </c>
      <c r="BF152" s="527">
        <f>IF(ISNA(VLOOKUP($N152,Veg_Parameters!$A$3:$N$65,4,FALSE)),0,(VLOOKUP($N152,Veg_Parameters!$A$3:$N$65,4,FALSE)))</f>
        <v>0</v>
      </c>
      <c r="BG152" s="527">
        <f>AH152*(IF(ISNA(VLOOKUP($N152,Veg_Parameters!$A$3:$N$65,7,FALSE)),0, (VLOOKUP($N152,Veg_Parameters!$A$3:$N$65,7,FALSE))))</f>
        <v>0</v>
      </c>
      <c r="BH152" s="527">
        <f>IF(ISNA(VLOOKUP($N152,Veg_Parameters!$A$3:$N$65,6,FALSE)), 0, (VLOOKUP($N152,Veg_Parameters!$A$3:$N$65,6,FALSE)))</f>
        <v>0</v>
      </c>
      <c r="BI152" s="529">
        <f t="shared" si="206"/>
        <v>20</v>
      </c>
      <c r="BJ152" s="529">
        <f t="shared" si="226"/>
        <v>0</v>
      </c>
      <c r="BK152" s="529">
        <f t="shared" si="207"/>
        <v>0</v>
      </c>
      <c r="BL152" s="530">
        <f t="shared" si="227"/>
        <v>0</v>
      </c>
      <c r="BM152" s="527" t="s">
        <v>3</v>
      </c>
      <c r="BN152" s="527">
        <f>IF(ISNA(VLOOKUP(N152,Veg_Parameters!$A$3:$N$65,8,FALSE)), 0, (VLOOKUP($N152,Veg_Parameters!$A$3:$N$65,8,FALSE)))</f>
        <v>0</v>
      </c>
      <c r="BO152" s="527">
        <f>AH152*(IF(ISNA(VLOOKUP($N152,Veg_Parameters!$A$3:$N$65,9,FALSE)), 0, (VLOOKUP($N152,Veg_Parameters!$A$3:$N$65,9,FALSE))))</f>
        <v>0</v>
      </c>
      <c r="BP152" s="527" t="str">
        <f>IF(ISBLANK(N152),"0",VLOOKUP($N152,Veg_Parameters!$A$4:$U$65,21,))</f>
        <v>0</v>
      </c>
      <c r="BQ152" s="529">
        <f t="shared" si="228"/>
        <v>0</v>
      </c>
      <c r="BR152" s="529">
        <f t="shared" si="229"/>
        <v>0</v>
      </c>
      <c r="BS152" s="529">
        <f t="shared" si="208"/>
        <v>0</v>
      </c>
      <c r="BT152" s="529">
        <f t="shared" si="230"/>
        <v>0</v>
      </c>
      <c r="BU152" s="529">
        <f t="shared" si="231"/>
        <v>0</v>
      </c>
      <c r="BV152" s="529">
        <f t="shared" si="232"/>
        <v>0</v>
      </c>
      <c r="BW152" s="532" t="str">
        <f t="shared" si="209"/>
        <v/>
      </c>
      <c r="BX152" s="532" t="str">
        <f t="shared" si="210"/>
        <v/>
      </c>
      <c r="BY152" s="532" t="str">
        <f t="shared" si="211"/>
        <v/>
      </c>
      <c r="BZ152" s="532" t="str">
        <f t="shared" si="212"/>
        <v/>
      </c>
      <c r="CA152" s="532">
        <f t="shared" si="213"/>
        <v>0</v>
      </c>
      <c r="CB152" s="533"/>
      <c r="CC152" s="624">
        <f t="shared" si="214"/>
        <v>0</v>
      </c>
      <c r="CD152" s="534">
        <f t="shared" si="215"/>
        <v>0</v>
      </c>
      <c r="CE152" s="534">
        <f t="shared" si="216"/>
        <v>0</v>
      </c>
      <c r="CF152" s="534">
        <f t="shared" si="217"/>
        <v>0</v>
      </c>
      <c r="CG152" s="534"/>
      <c r="CH152" s="534"/>
      <c r="CI152" s="534">
        <f t="shared" si="233"/>
        <v>0</v>
      </c>
      <c r="CL152" s="534">
        <f>IF(ISNA(VLOOKUP(I152,Veg_Parameters!$A$3:$N$65,13,FALSE)),0,(VLOOKUP(I152,Veg_Parameters!$A$3:$N$65,13,FALSE)))</f>
        <v>0</v>
      </c>
      <c r="CM152" s="534">
        <f t="shared" si="234"/>
        <v>0</v>
      </c>
      <c r="CN152" s="534">
        <f>IF(ISNA(VLOOKUP(N152,Veg_Parameters!$A$3:$N$65,13,FALSE)),0,(VLOOKUP(N152,Veg_Parameters!$A$3:$N$65,13,FALSE)))</f>
        <v>0</v>
      </c>
      <c r="CO152" s="523">
        <f t="shared" si="235"/>
        <v>0</v>
      </c>
    </row>
    <row r="153" spans="1:93" x14ac:dyDescent="0.2">
      <c r="A153" s="227"/>
      <c r="B153" s="171" t="str">
        <f t="shared" si="236"/>
        <v/>
      </c>
      <c r="C153" s="230"/>
      <c r="D153" s="169"/>
      <c r="E153" s="165"/>
      <c r="F153" s="165"/>
      <c r="G153" s="165"/>
      <c r="H153" s="165"/>
      <c r="I153" s="168"/>
      <c r="J153" s="167"/>
      <c r="K153" s="168"/>
      <c r="L153" s="167"/>
      <c r="M153" s="167"/>
      <c r="N153" s="168"/>
      <c r="O153" s="168"/>
      <c r="P153" s="167"/>
      <c r="Q153" s="167"/>
      <c r="R153" s="167"/>
      <c r="S153" s="222" t="str">
        <f>IF(ISBLANK(A153),"",IF(ISNA(VLOOKUP(I153,Veg_Parameters!$A$3:$N$65,3,FALSE)),0,(VLOOKUP(I153,Veg_Parameters!$A$3:$N$65,3,FALSE))))</f>
        <v/>
      </c>
      <c r="T153" s="222" t="str">
        <f>IF(ISBLANK(N153),"",IF(ISNA(VLOOKUP(N153,Veg_Parameters!$A$3:$N$65,3,FALSE)),0,(VLOOKUP(N153,Veg_Parameters!$A$3:$N$65,3,FALSE))))</f>
        <v/>
      </c>
      <c r="U153" s="523">
        <f t="shared" si="218"/>
        <v>0</v>
      </c>
      <c r="V153" s="523">
        <f t="shared" si="194"/>
        <v>0</v>
      </c>
      <c r="W153" s="524">
        <f>IF(ISBLANK(A153),0,IF(ISNA(VLOOKUP($I153,Veg_Parameters!$A$3:$N$65,10,FALSE)),0,(VLOOKUP($I153,Veg_Parameters!$A$3:$N$65,10,FALSE))))</f>
        <v>0</v>
      </c>
      <c r="X153" s="524">
        <f>IF(ISBLANK(A153),0,IF(ISNA(VLOOKUP($I153,Veg_Parameters!$A$3:$N$65,11,FALSE)),0,(VLOOKUP($I153,Veg_Parameters!$A$3:$N$65,11,FALSE))))</f>
        <v>0</v>
      </c>
      <c r="Y153" s="524">
        <f>IF(ISBLANK(A153),0,IF(ISNA(VLOOKUP($I153,Veg_Parameters!$A$3:$N$65,12,FALSE)),0,(VLOOKUP($I153,Veg_Parameters!$A$3:$N$65,12,FALSE))))</f>
        <v>0</v>
      </c>
      <c r="Z153" s="525">
        <f t="shared" si="195"/>
        <v>0</v>
      </c>
      <c r="AA153" s="525">
        <f t="shared" si="196"/>
        <v>0</v>
      </c>
      <c r="AB153" s="525">
        <f t="shared" si="197"/>
        <v>0</v>
      </c>
      <c r="AC153" s="524">
        <f>IF(ISBLANK(N153),0,IF(ISNA(VLOOKUP($N153,Veg_Parameters!$A$3:$N$65,10,FALSE)),0,(VLOOKUP($N153,Veg_Parameters!$A$3:$N$65,10,FALSE))))</f>
        <v>0</v>
      </c>
      <c r="AD153" s="524">
        <f>IF(ISBLANK(N153),0,IF(ISNA(VLOOKUP($N153,Veg_Parameters!$A$3:$N$65,11,FALSE)),0,(VLOOKUP($N153,Veg_Parameters!$A$3:$N$65,11,FALSE))))</f>
        <v>0</v>
      </c>
      <c r="AE153" s="524">
        <f>IF(ISBLANK(N153), 0, IF(ISNA(VLOOKUP($N153,Veg_Parameters!$A$3:$N$65,12,FALSE)),0,(VLOOKUP($N153,Veg_Parameters!$A$3:$N$65,12,FALSE))))</f>
        <v>0</v>
      </c>
      <c r="AF153" s="523">
        <f t="shared" si="198"/>
        <v>0</v>
      </c>
      <c r="AG153" s="523">
        <f t="shared" si="199"/>
        <v>0</v>
      </c>
      <c r="AH153" s="523">
        <f t="shared" si="200"/>
        <v>0</v>
      </c>
      <c r="AI153" s="526"/>
      <c r="AJ153" s="527">
        <f>AB153*(IF(ISNA(VLOOKUP($I153,Veg_Parameters!$A$3:$N$65,5,FALSE)),0,(VLOOKUP($I153,Veg_Parameters!$A$3:$N$65,5,FALSE))))</f>
        <v>0</v>
      </c>
      <c r="AK153" s="527">
        <f>IF(ISNA(VLOOKUP($I153,Veg_Parameters!$A$3:$N$65,4,FALSE)),0,(VLOOKUP($I153,Veg_Parameters!$A$3:$N$65,4,FALSE)))</f>
        <v>0</v>
      </c>
      <c r="AL153" s="527">
        <f>AB153*(IF(ISNA(VLOOKUP($I153,Veg_Parameters!$A$3:$N$65,7,FALSE)),0, (VLOOKUP($I153,Veg_Parameters!$A$3:$N$65,7,FALSE))))</f>
        <v>0</v>
      </c>
      <c r="AM153" s="528">
        <f>IF(ISNA(VLOOKUP($I153,Veg_Parameters!$A$3:$N$65,6,FALSE)), 0, (VLOOKUP($I153,Veg_Parameters!$A$3:$N$65,6,FALSE)))</f>
        <v>0</v>
      </c>
      <c r="AN153" s="529">
        <f t="shared" si="201"/>
        <v>20</v>
      </c>
      <c r="AO153" s="529">
        <f t="shared" si="202"/>
        <v>0</v>
      </c>
      <c r="AP153" s="529">
        <f t="shared" si="203"/>
        <v>0</v>
      </c>
      <c r="AQ153" s="530">
        <f t="shared" si="219"/>
        <v>0</v>
      </c>
      <c r="AR153" s="527" t="s">
        <v>3</v>
      </c>
      <c r="AS153" s="527">
        <f>IF(ISNA(VLOOKUP($I153,Veg_Parameters!$A$3:$N$65,8,FALSE)), 0, (VLOOKUP($I153,Veg_Parameters!$A$3:$N$65,8,FALSE)))</f>
        <v>0</v>
      </c>
      <c r="AT153" s="527">
        <f>AB153*(IF(ISNA(VLOOKUP($I153,Veg_Parameters!$A$3:$N$65,9,FALSE)), 0, (VLOOKUP($I153,Veg_Parameters!$A$3:$N$65,9,FALSE))))</f>
        <v>0</v>
      </c>
      <c r="AU153" s="527">
        <f>IF(ISBLANK(A153),0,VLOOKUP($I153,Veg_Parameters!$A$4:$U$65,21,))</f>
        <v>0</v>
      </c>
      <c r="AV153" s="527">
        <f t="shared" si="220"/>
        <v>0</v>
      </c>
      <c r="AW153" s="529">
        <f t="shared" si="221"/>
        <v>0</v>
      </c>
      <c r="AX153" s="529">
        <f t="shared" si="222"/>
        <v>0</v>
      </c>
      <c r="AY153" s="529">
        <f t="shared" si="204"/>
        <v>0</v>
      </c>
      <c r="AZ153" s="529">
        <f t="shared" si="223"/>
        <v>0</v>
      </c>
      <c r="BA153" s="529">
        <f t="shared" si="224"/>
        <v>0</v>
      </c>
      <c r="BB153" s="529">
        <f t="shared" si="225"/>
        <v>0</v>
      </c>
      <c r="BC153" s="529">
        <f t="shared" si="205"/>
        <v>0</v>
      </c>
      <c r="BD153" s="531"/>
      <c r="BE153" s="527">
        <f>AH153*(IF(ISNA(VLOOKUP($N153,Veg_Parameters!$A$3:$N$65,5,FALSE)),0,(VLOOKUP($N153,Veg_Parameters!$A$3:$N$65,5,FALSE))))</f>
        <v>0</v>
      </c>
      <c r="BF153" s="527">
        <f>IF(ISNA(VLOOKUP($N153,Veg_Parameters!$A$3:$N$65,4,FALSE)),0,(VLOOKUP($N153,Veg_Parameters!$A$3:$N$65,4,FALSE)))</f>
        <v>0</v>
      </c>
      <c r="BG153" s="527">
        <f>AH153*(IF(ISNA(VLOOKUP($N153,Veg_Parameters!$A$3:$N$65,7,FALSE)),0, (VLOOKUP($N153,Veg_Parameters!$A$3:$N$65,7,FALSE))))</f>
        <v>0</v>
      </c>
      <c r="BH153" s="527">
        <f>IF(ISNA(VLOOKUP($N153,Veg_Parameters!$A$3:$N$65,6,FALSE)), 0, (VLOOKUP($N153,Veg_Parameters!$A$3:$N$65,6,FALSE)))</f>
        <v>0</v>
      </c>
      <c r="BI153" s="529">
        <f t="shared" si="206"/>
        <v>20</v>
      </c>
      <c r="BJ153" s="529">
        <f t="shared" si="226"/>
        <v>0</v>
      </c>
      <c r="BK153" s="529">
        <f t="shared" si="207"/>
        <v>0</v>
      </c>
      <c r="BL153" s="530">
        <f t="shared" si="227"/>
        <v>0</v>
      </c>
      <c r="BM153" s="527" t="s">
        <v>3</v>
      </c>
      <c r="BN153" s="527">
        <f>IF(ISNA(VLOOKUP(N153,Veg_Parameters!$A$3:$N$65,8,FALSE)), 0, (VLOOKUP($N153,Veg_Parameters!$A$3:$N$65,8,FALSE)))</f>
        <v>0</v>
      </c>
      <c r="BO153" s="527">
        <f>AH153*(IF(ISNA(VLOOKUP($N153,Veg_Parameters!$A$3:$N$65,9,FALSE)), 0, (VLOOKUP($N153,Veg_Parameters!$A$3:$N$65,9,FALSE))))</f>
        <v>0</v>
      </c>
      <c r="BP153" s="527" t="str">
        <f>IF(ISBLANK(N153),"0",VLOOKUP($N153,Veg_Parameters!$A$4:$U$65,21,))</f>
        <v>0</v>
      </c>
      <c r="BQ153" s="529">
        <f t="shared" si="228"/>
        <v>0</v>
      </c>
      <c r="BR153" s="529">
        <f t="shared" si="229"/>
        <v>0</v>
      </c>
      <c r="BS153" s="529">
        <f t="shared" si="208"/>
        <v>0</v>
      </c>
      <c r="BT153" s="529">
        <f t="shared" si="230"/>
        <v>0</v>
      </c>
      <c r="BU153" s="529">
        <f t="shared" si="231"/>
        <v>0</v>
      </c>
      <c r="BV153" s="529">
        <f t="shared" si="232"/>
        <v>0</v>
      </c>
      <c r="BW153" s="532" t="str">
        <f t="shared" si="209"/>
        <v/>
      </c>
      <c r="BX153" s="532" t="str">
        <f t="shared" si="210"/>
        <v/>
      </c>
      <c r="BY153" s="532" t="str">
        <f t="shared" si="211"/>
        <v/>
      </c>
      <c r="BZ153" s="532" t="str">
        <f t="shared" si="212"/>
        <v/>
      </c>
      <c r="CA153" s="532">
        <f t="shared" si="213"/>
        <v>0</v>
      </c>
      <c r="CB153" s="533"/>
      <c r="CC153" s="624">
        <f t="shared" si="214"/>
        <v>0</v>
      </c>
      <c r="CD153" s="534">
        <f t="shared" si="215"/>
        <v>0</v>
      </c>
      <c r="CE153" s="534">
        <f t="shared" si="216"/>
        <v>0</v>
      </c>
      <c r="CF153" s="534">
        <f t="shared" si="217"/>
        <v>0</v>
      </c>
      <c r="CG153" s="534"/>
      <c r="CH153" s="534"/>
      <c r="CI153" s="534">
        <f t="shared" si="233"/>
        <v>0</v>
      </c>
      <c r="CL153" s="534">
        <f>IF(ISNA(VLOOKUP(I153,Veg_Parameters!$A$3:$N$65,13,FALSE)),0,(VLOOKUP(I153,Veg_Parameters!$A$3:$N$65,13,FALSE)))</f>
        <v>0</v>
      </c>
      <c r="CM153" s="534">
        <f t="shared" si="234"/>
        <v>0</v>
      </c>
      <c r="CN153" s="534">
        <f>IF(ISNA(VLOOKUP(N153,Veg_Parameters!$A$3:$N$65,13,FALSE)),0,(VLOOKUP(N153,Veg_Parameters!$A$3:$N$65,13,FALSE)))</f>
        <v>0</v>
      </c>
      <c r="CO153" s="523">
        <f t="shared" si="235"/>
        <v>0</v>
      </c>
    </row>
    <row r="154" spans="1:93" x14ac:dyDescent="0.2">
      <c r="A154" s="227"/>
      <c r="B154" s="171" t="str">
        <f t="shared" si="236"/>
        <v/>
      </c>
      <c r="C154" s="230"/>
      <c r="D154" s="169"/>
      <c r="E154" s="165"/>
      <c r="F154" s="165"/>
      <c r="G154" s="165"/>
      <c r="H154" s="165"/>
      <c r="I154" s="168"/>
      <c r="J154" s="167"/>
      <c r="K154" s="168"/>
      <c r="L154" s="167"/>
      <c r="M154" s="167"/>
      <c r="N154" s="168"/>
      <c r="O154" s="168"/>
      <c r="P154" s="167"/>
      <c r="Q154" s="167"/>
      <c r="R154" s="167"/>
      <c r="S154" s="222" t="str">
        <f>IF(ISBLANK(A154),"",IF(ISNA(VLOOKUP(I154,Veg_Parameters!$A$3:$N$65,3,FALSE)),0,(VLOOKUP(I154,Veg_Parameters!$A$3:$N$65,3,FALSE))))</f>
        <v/>
      </c>
      <c r="T154" s="222" t="str">
        <f>IF(ISBLANK(N154),"",IF(ISNA(VLOOKUP(N154,Veg_Parameters!$A$3:$N$65,3,FALSE)),0,(VLOOKUP(N154,Veg_Parameters!$A$3:$N$65,3,FALSE))))</f>
        <v/>
      </c>
      <c r="U154" s="523">
        <f t="shared" si="218"/>
        <v>0</v>
      </c>
      <c r="V154" s="523">
        <f t="shared" si="194"/>
        <v>0</v>
      </c>
      <c r="W154" s="524">
        <f>IF(ISBLANK(A154),0,IF(ISNA(VLOOKUP($I154,Veg_Parameters!$A$3:$N$65,10,FALSE)),0,(VLOOKUP($I154,Veg_Parameters!$A$3:$N$65,10,FALSE))))</f>
        <v>0</v>
      </c>
      <c r="X154" s="524">
        <f>IF(ISBLANK(A154),0,IF(ISNA(VLOOKUP($I154,Veg_Parameters!$A$3:$N$65,11,FALSE)),0,(VLOOKUP($I154,Veg_Parameters!$A$3:$N$65,11,FALSE))))</f>
        <v>0</v>
      </c>
      <c r="Y154" s="524">
        <f>IF(ISBLANK(A154),0,IF(ISNA(VLOOKUP($I154,Veg_Parameters!$A$3:$N$65,12,FALSE)),0,(VLOOKUP($I154,Veg_Parameters!$A$3:$N$65,12,FALSE))))</f>
        <v>0</v>
      </c>
      <c r="Z154" s="525">
        <f t="shared" si="195"/>
        <v>0</v>
      </c>
      <c r="AA154" s="525">
        <f t="shared" si="196"/>
        <v>0</v>
      </c>
      <c r="AB154" s="525">
        <f t="shared" si="197"/>
        <v>0</v>
      </c>
      <c r="AC154" s="524">
        <f>IF(ISBLANK(N154),0,IF(ISNA(VLOOKUP($N154,Veg_Parameters!$A$3:$N$65,10,FALSE)),0,(VLOOKUP($N154,Veg_Parameters!$A$3:$N$65,10,FALSE))))</f>
        <v>0</v>
      </c>
      <c r="AD154" s="524">
        <f>IF(ISBLANK(N154),0,IF(ISNA(VLOOKUP($N154,Veg_Parameters!$A$3:$N$65,11,FALSE)),0,(VLOOKUP($N154,Veg_Parameters!$A$3:$N$65,11,FALSE))))</f>
        <v>0</v>
      </c>
      <c r="AE154" s="524">
        <f>IF(ISBLANK(N154), 0, IF(ISNA(VLOOKUP($N154,Veg_Parameters!$A$3:$N$65,12,FALSE)),0,(VLOOKUP($N154,Veg_Parameters!$A$3:$N$65,12,FALSE))))</f>
        <v>0</v>
      </c>
      <c r="AF154" s="523">
        <f t="shared" si="198"/>
        <v>0</v>
      </c>
      <c r="AG154" s="523">
        <f t="shared" si="199"/>
        <v>0</v>
      </c>
      <c r="AH154" s="523">
        <f t="shared" si="200"/>
        <v>0</v>
      </c>
      <c r="AI154" s="526"/>
      <c r="AJ154" s="527">
        <f>AB154*(IF(ISNA(VLOOKUP($I154,Veg_Parameters!$A$3:$N$65,5,FALSE)),0,(VLOOKUP($I154,Veg_Parameters!$A$3:$N$65,5,FALSE))))</f>
        <v>0</v>
      </c>
      <c r="AK154" s="527">
        <f>IF(ISNA(VLOOKUP($I154,Veg_Parameters!$A$3:$N$65,4,FALSE)),0,(VLOOKUP($I154,Veg_Parameters!$A$3:$N$65,4,FALSE)))</f>
        <v>0</v>
      </c>
      <c r="AL154" s="527">
        <f>AB154*(IF(ISNA(VLOOKUP($I154,Veg_Parameters!$A$3:$N$65,7,FALSE)),0, (VLOOKUP($I154,Veg_Parameters!$A$3:$N$65,7,FALSE))))</f>
        <v>0</v>
      </c>
      <c r="AM154" s="528">
        <f>IF(ISNA(VLOOKUP($I154,Veg_Parameters!$A$3:$N$65,6,FALSE)), 0, (VLOOKUP($I154,Veg_Parameters!$A$3:$N$65,6,FALSE)))</f>
        <v>0</v>
      </c>
      <c r="AN154" s="529">
        <f t="shared" si="201"/>
        <v>20</v>
      </c>
      <c r="AO154" s="529">
        <f t="shared" si="202"/>
        <v>0</v>
      </c>
      <c r="AP154" s="529">
        <f t="shared" si="203"/>
        <v>0</v>
      </c>
      <c r="AQ154" s="530">
        <f t="shared" si="219"/>
        <v>0</v>
      </c>
      <c r="AR154" s="527" t="s">
        <v>3</v>
      </c>
      <c r="AS154" s="527">
        <f>IF(ISNA(VLOOKUP($I154,Veg_Parameters!$A$3:$N$65,8,FALSE)), 0, (VLOOKUP($I154,Veg_Parameters!$A$3:$N$65,8,FALSE)))</f>
        <v>0</v>
      </c>
      <c r="AT154" s="527">
        <f>AB154*(IF(ISNA(VLOOKUP($I154,Veg_Parameters!$A$3:$N$65,9,FALSE)), 0, (VLOOKUP($I154,Veg_Parameters!$A$3:$N$65,9,FALSE))))</f>
        <v>0</v>
      </c>
      <c r="AU154" s="527">
        <f>IF(ISBLANK(A154),0,VLOOKUP($I154,Veg_Parameters!$A$4:$U$65,21,))</f>
        <v>0</v>
      </c>
      <c r="AV154" s="527">
        <f t="shared" si="220"/>
        <v>0</v>
      </c>
      <c r="AW154" s="529">
        <f t="shared" si="221"/>
        <v>0</v>
      </c>
      <c r="AX154" s="529">
        <f t="shared" si="222"/>
        <v>0</v>
      </c>
      <c r="AY154" s="529">
        <f t="shared" si="204"/>
        <v>0</v>
      </c>
      <c r="AZ154" s="529">
        <f t="shared" si="223"/>
        <v>0</v>
      </c>
      <c r="BA154" s="529">
        <f t="shared" si="224"/>
        <v>0</v>
      </c>
      <c r="BB154" s="529">
        <f t="shared" si="225"/>
        <v>0</v>
      </c>
      <c r="BC154" s="529">
        <f t="shared" si="205"/>
        <v>0</v>
      </c>
      <c r="BD154" s="531"/>
      <c r="BE154" s="527">
        <f>AH154*(IF(ISNA(VLOOKUP($N154,Veg_Parameters!$A$3:$N$65,5,FALSE)),0,(VLOOKUP($N154,Veg_Parameters!$A$3:$N$65,5,FALSE))))</f>
        <v>0</v>
      </c>
      <c r="BF154" s="527">
        <f>IF(ISNA(VLOOKUP($N154,Veg_Parameters!$A$3:$N$65,4,FALSE)),0,(VLOOKUP($N154,Veg_Parameters!$A$3:$N$65,4,FALSE)))</f>
        <v>0</v>
      </c>
      <c r="BG154" s="527">
        <f>AH154*(IF(ISNA(VLOOKUP($N154,Veg_Parameters!$A$3:$N$65,7,FALSE)),0, (VLOOKUP($N154,Veg_Parameters!$A$3:$N$65,7,FALSE))))</f>
        <v>0</v>
      </c>
      <c r="BH154" s="527">
        <f>IF(ISNA(VLOOKUP($N154,Veg_Parameters!$A$3:$N$65,6,FALSE)), 0, (VLOOKUP($N154,Veg_Parameters!$A$3:$N$65,6,FALSE)))</f>
        <v>0</v>
      </c>
      <c r="BI154" s="529">
        <f t="shared" si="206"/>
        <v>20</v>
      </c>
      <c r="BJ154" s="529">
        <f t="shared" si="226"/>
        <v>0</v>
      </c>
      <c r="BK154" s="529">
        <f t="shared" si="207"/>
        <v>0</v>
      </c>
      <c r="BL154" s="530">
        <f t="shared" si="227"/>
        <v>0</v>
      </c>
      <c r="BM154" s="527" t="s">
        <v>3</v>
      </c>
      <c r="BN154" s="527">
        <f>IF(ISNA(VLOOKUP(N154,Veg_Parameters!$A$3:$N$65,8,FALSE)), 0, (VLOOKUP($N154,Veg_Parameters!$A$3:$N$65,8,FALSE)))</f>
        <v>0</v>
      </c>
      <c r="BO154" s="527">
        <f>AH154*(IF(ISNA(VLOOKUP($N154,Veg_Parameters!$A$3:$N$65,9,FALSE)), 0, (VLOOKUP($N154,Veg_Parameters!$A$3:$N$65,9,FALSE))))</f>
        <v>0</v>
      </c>
      <c r="BP154" s="527" t="str">
        <f>IF(ISBLANK(N154),"0",VLOOKUP($N154,Veg_Parameters!$A$4:$U$65,21,))</f>
        <v>0</v>
      </c>
      <c r="BQ154" s="529">
        <f t="shared" si="228"/>
        <v>0</v>
      </c>
      <c r="BR154" s="529">
        <f t="shared" si="229"/>
        <v>0</v>
      </c>
      <c r="BS154" s="529">
        <f t="shared" si="208"/>
        <v>0</v>
      </c>
      <c r="BT154" s="529">
        <f t="shared" si="230"/>
        <v>0</v>
      </c>
      <c r="BU154" s="529">
        <f t="shared" si="231"/>
        <v>0</v>
      </c>
      <c r="BV154" s="529">
        <f t="shared" si="232"/>
        <v>0</v>
      </c>
      <c r="BW154" s="532" t="str">
        <f t="shared" si="209"/>
        <v/>
      </c>
      <c r="BX154" s="532" t="str">
        <f t="shared" si="210"/>
        <v/>
      </c>
      <c r="BY154" s="532" t="str">
        <f t="shared" si="211"/>
        <v/>
      </c>
      <c r="BZ154" s="532" t="str">
        <f t="shared" si="212"/>
        <v/>
      </c>
      <c r="CA154" s="532">
        <f t="shared" si="213"/>
        <v>0</v>
      </c>
      <c r="CB154" s="533"/>
      <c r="CC154" s="624">
        <f t="shared" si="214"/>
        <v>0</v>
      </c>
      <c r="CD154" s="534">
        <f t="shared" si="215"/>
        <v>0</v>
      </c>
      <c r="CE154" s="534">
        <f t="shared" si="216"/>
        <v>0</v>
      </c>
      <c r="CF154" s="534">
        <f t="shared" si="217"/>
        <v>0</v>
      </c>
      <c r="CG154" s="534"/>
      <c r="CH154" s="534"/>
      <c r="CI154" s="534">
        <f t="shared" si="233"/>
        <v>0</v>
      </c>
      <c r="CL154" s="534">
        <f>IF(ISNA(VLOOKUP(I154,Veg_Parameters!$A$3:$N$65,13,FALSE)),0,(VLOOKUP(I154,Veg_Parameters!$A$3:$N$65,13,FALSE)))</f>
        <v>0</v>
      </c>
      <c r="CM154" s="534">
        <f t="shared" si="234"/>
        <v>0</v>
      </c>
      <c r="CN154" s="534">
        <f>IF(ISNA(VLOOKUP(N154,Veg_Parameters!$A$3:$N$65,13,FALSE)),0,(VLOOKUP(N154,Veg_Parameters!$A$3:$N$65,13,FALSE)))</f>
        <v>0</v>
      </c>
      <c r="CO154" s="523">
        <f t="shared" si="235"/>
        <v>0</v>
      </c>
    </row>
    <row r="155" spans="1:93" x14ac:dyDescent="0.2">
      <c r="A155" s="227"/>
      <c r="B155" s="171" t="str">
        <f t="shared" si="236"/>
        <v/>
      </c>
      <c r="C155" s="230"/>
      <c r="D155" s="169"/>
      <c r="E155" s="165"/>
      <c r="F155" s="165"/>
      <c r="G155" s="165"/>
      <c r="H155" s="165"/>
      <c r="I155" s="168"/>
      <c r="J155" s="167"/>
      <c r="K155" s="168"/>
      <c r="L155" s="167"/>
      <c r="M155" s="167"/>
      <c r="N155" s="168"/>
      <c r="O155" s="168"/>
      <c r="P155" s="167"/>
      <c r="Q155" s="167"/>
      <c r="R155" s="167"/>
      <c r="S155" s="222" t="str">
        <f>IF(ISBLANK(A155),"",IF(ISNA(VLOOKUP(I155,Veg_Parameters!$A$3:$N$65,3,FALSE)),0,(VLOOKUP(I155,Veg_Parameters!$A$3:$N$65,3,FALSE))))</f>
        <v/>
      </c>
      <c r="T155" s="222" t="str">
        <f>IF(ISBLANK(N155),"",IF(ISNA(VLOOKUP(N155,Veg_Parameters!$A$3:$N$65,3,FALSE)),0,(VLOOKUP(N155,Veg_Parameters!$A$3:$N$65,3,FALSE))))</f>
        <v/>
      </c>
      <c r="U155" s="523">
        <f t="shared" si="218"/>
        <v>0</v>
      </c>
      <c r="V155" s="523">
        <f t="shared" si="194"/>
        <v>0</v>
      </c>
      <c r="W155" s="524">
        <f>IF(ISBLANK(A155),0,IF(ISNA(VLOOKUP($I155,Veg_Parameters!$A$3:$N$65,10,FALSE)),0,(VLOOKUP($I155,Veg_Parameters!$A$3:$N$65,10,FALSE))))</f>
        <v>0</v>
      </c>
      <c r="X155" s="524">
        <f>IF(ISBLANK(A155),0,IF(ISNA(VLOOKUP($I155,Veg_Parameters!$A$3:$N$65,11,FALSE)),0,(VLOOKUP($I155,Veg_Parameters!$A$3:$N$65,11,FALSE))))</f>
        <v>0</v>
      </c>
      <c r="Y155" s="524">
        <f>IF(ISBLANK(A155),0,IF(ISNA(VLOOKUP($I155,Veg_Parameters!$A$3:$N$65,12,FALSE)),0,(VLOOKUP($I155,Veg_Parameters!$A$3:$N$65,12,FALSE))))</f>
        <v>0</v>
      </c>
      <c r="Z155" s="525">
        <f t="shared" si="195"/>
        <v>0</v>
      </c>
      <c r="AA155" s="525">
        <f t="shared" si="196"/>
        <v>0</v>
      </c>
      <c r="AB155" s="525">
        <f t="shared" si="197"/>
        <v>0</v>
      </c>
      <c r="AC155" s="524">
        <f>IF(ISBLANK(N155),0,IF(ISNA(VLOOKUP($N155,Veg_Parameters!$A$3:$N$65,10,FALSE)),0,(VLOOKUP($N155,Veg_Parameters!$A$3:$N$65,10,FALSE))))</f>
        <v>0</v>
      </c>
      <c r="AD155" s="524">
        <f>IF(ISBLANK(N155),0,IF(ISNA(VLOOKUP($N155,Veg_Parameters!$A$3:$N$65,11,FALSE)),0,(VLOOKUP($N155,Veg_Parameters!$A$3:$N$65,11,FALSE))))</f>
        <v>0</v>
      </c>
      <c r="AE155" s="524">
        <f>IF(ISBLANK(N155), 0, IF(ISNA(VLOOKUP($N155,Veg_Parameters!$A$3:$N$65,12,FALSE)),0,(VLOOKUP($N155,Veg_Parameters!$A$3:$N$65,12,FALSE))))</f>
        <v>0</v>
      </c>
      <c r="AF155" s="523">
        <f t="shared" si="198"/>
        <v>0</v>
      </c>
      <c r="AG155" s="523">
        <f t="shared" si="199"/>
        <v>0</v>
      </c>
      <c r="AH155" s="523">
        <f t="shared" si="200"/>
        <v>0</v>
      </c>
      <c r="AI155" s="526"/>
      <c r="AJ155" s="527">
        <f>AB155*(IF(ISNA(VLOOKUP($I155,Veg_Parameters!$A$3:$N$65,5,FALSE)),0,(VLOOKUP($I155,Veg_Parameters!$A$3:$N$65,5,FALSE))))</f>
        <v>0</v>
      </c>
      <c r="AK155" s="527">
        <f>IF(ISNA(VLOOKUP($I155,Veg_Parameters!$A$3:$N$65,4,FALSE)),0,(VLOOKUP($I155,Veg_Parameters!$A$3:$N$65,4,FALSE)))</f>
        <v>0</v>
      </c>
      <c r="AL155" s="527">
        <f>AB155*(IF(ISNA(VLOOKUP($I155,Veg_Parameters!$A$3:$N$65,7,FALSE)),0, (VLOOKUP($I155,Veg_Parameters!$A$3:$N$65,7,FALSE))))</f>
        <v>0</v>
      </c>
      <c r="AM155" s="528">
        <f>IF(ISNA(VLOOKUP($I155,Veg_Parameters!$A$3:$N$65,6,FALSE)), 0, (VLOOKUP($I155,Veg_Parameters!$A$3:$N$65,6,FALSE)))</f>
        <v>0</v>
      </c>
      <c r="AN155" s="529">
        <f t="shared" si="201"/>
        <v>20</v>
      </c>
      <c r="AO155" s="529">
        <f t="shared" si="202"/>
        <v>0</v>
      </c>
      <c r="AP155" s="529">
        <f t="shared" si="203"/>
        <v>0</v>
      </c>
      <c r="AQ155" s="530">
        <f t="shared" si="219"/>
        <v>0</v>
      </c>
      <c r="AR155" s="527" t="s">
        <v>3</v>
      </c>
      <c r="AS155" s="527">
        <f>IF(ISNA(VLOOKUP($I155,Veg_Parameters!$A$3:$N$65,8,FALSE)), 0, (VLOOKUP($I155,Veg_Parameters!$A$3:$N$65,8,FALSE)))</f>
        <v>0</v>
      </c>
      <c r="AT155" s="527">
        <f>AB155*(IF(ISNA(VLOOKUP($I155,Veg_Parameters!$A$3:$N$65,9,FALSE)), 0, (VLOOKUP($I155,Veg_Parameters!$A$3:$N$65,9,FALSE))))</f>
        <v>0</v>
      </c>
      <c r="AU155" s="527">
        <f>IF(ISBLANK(A155),0,VLOOKUP($I155,Veg_Parameters!$A$4:$U$65,21,))</f>
        <v>0</v>
      </c>
      <c r="AV155" s="527">
        <f t="shared" si="220"/>
        <v>0</v>
      </c>
      <c r="AW155" s="529">
        <f t="shared" si="221"/>
        <v>0</v>
      </c>
      <c r="AX155" s="529">
        <f t="shared" si="222"/>
        <v>0</v>
      </c>
      <c r="AY155" s="529">
        <f t="shared" si="204"/>
        <v>0</v>
      </c>
      <c r="AZ155" s="529">
        <f t="shared" si="223"/>
        <v>0</v>
      </c>
      <c r="BA155" s="529">
        <f t="shared" si="224"/>
        <v>0</v>
      </c>
      <c r="BB155" s="529">
        <f t="shared" si="225"/>
        <v>0</v>
      </c>
      <c r="BC155" s="529">
        <f t="shared" si="205"/>
        <v>0</v>
      </c>
      <c r="BD155" s="531"/>
      <c r="BE155" s="527">
        <f>AH155*(IF(ISNA(VLOOKUP($N155,Veg_Parameters!$A$3:$N$65,5,FALSE)),0,(VLOOKUP($N155,Veg_Parameters!$A$3:$N$65,5,FALSE))))</f>
        <v>0</v>
      </c>
      <c r="BF155" s="527">
        <f>IF(ISNA(VLOOKUP($N155,Veg_Parameters!$A$3:$N$65,4,FALSE)),0,(VLOOKUP($N155,Veg_Parameters!$A$3:$N$65,4,FALSE)))</f>
        <v>0</v>
      </c>
      <c r="BG155" s="527">
        <f>AH155*(IF(ISNA(VLOOKUP($N155,Veg_Parameters!$A$3:$N$65,7,FALSE)),0, (VLOOKUP($N155,Veg_Parameters!$A$3:$N$65,7,FALSE))))</f>
        <v>0</v>
      </c>
      <c r="BH155" s="527">
        <f>IF(ISNA(VLOOKUP($N155,Veg_Parameters!$A$3:$N$65,6,FALSE)), 0, (VLOOKUP($N155,Veg_Parameters!$A$3:$N$65,6,FALSE)))</f>
        <v>0</v>
      </c>
      <c r="BI155" s="529">
        <f t="shared" si="206"/>
        <v>20</v>
      </c>
      <c r="BJ155" s="529">
        <f t="shared" si="226"/>
        <v>0</v>
      </c>
      <c r="BK155" s="529">
        <f t="shared" si="207"/>
        <v>0</v>
      </c>
      <c r="BL155" s="530">
        <f t="shared" si="227"/>
        <v>0</v>
      </c>
      <c r="BM155" s="527" t="s">
        <v>3</v>
      </c>
      <c r="BN155" s="527">
        <f>IF(ISNA(VLOOKUP(N155,Veg_Parameters!$A$3:$N$65,8,FALSE)), 0, (VLOOKUP($N155,Veg_Parameters!$A$3:$N$65,8,FALSE)))</f>
        <v>0</v>
      </c>
      <c r="BO155" s="527">
        <f>AH155*(IF(ISNA(VLOOKUP($N155,Veg_Parameters!$A$3:$N$65,9,FALSE)), 0, (VLOOKUP($N155,Veg_Parameters!$A$3:$N$65,9,FALSE))))</f>
        <v>0</v>
      </c>
      <c r="BP155" s="527" t="str">
        <f>IF(ISBLANK(N155),"0",VLOOKUP($N155,Veg_Parameters!$A$4:$U$65,21,))</f>
        <v>0</v>
      </c>
      <c r="BQ155" s="529">
        <f t="shared" si="228"/>
        <v>0</v>
      </c>
      <c r="BR155" s="529">
        <f t="shared" si="229"/>
        <v>0</v>
      </c>
      <c r="BS155" s="529">
        <f t="shared" si="208"/>
        <v>0</v>
      </c>
      <c r="BT155" s="529">
        <f t="shared" si="230"/>
        <v>0</v>
      </c>
      <c r="BU155" s="529">
        <f t="shared" si="231"/>
        <v>0</v>
      </c>
      <c r="BV155" s="529">
        <f t="shared" si="232"/>
        <v>0</v>
      </c>
      <c r="BW155" s="532" t="str">
        <f t="shared" si="209"/>
        <v/>
      </c>
      <c r="BX155" s="532" t="str">
        <f t="shared" si="210"/>
        <v/>
      </c>
      <c r="BY155" s="532" t="str">
        <f t="shared" si="211"/>
        <v/>
      </c>
      <c r="BZ155" s="532" t="str">
        <f t="shared" si="212"/>
        <v/>
      </c>
      <c r="CA155" s="532">
        <f t="shared" si="213"/>
        <v>0</v>
      </c>
      <c r="CB155" s="533"/>
      <c r="CC155" s="624">
        <f t="shared" si="214"/>
        <v>0</v>
      </c>
      <c r="CD155" s="534">
        <f t="shared" si="215"/>
        <v>0</v>
      </c>
      <c r="CE155" s="534">
        <f t="shared" si="216"/>
        <v>0</v>
      </c>
      <c r="CF155" s="534">
        <f t="shared" si="217"/>
        <v>0</v>
      </c>
      <c r="CG155" s="534"/>
      <c r="CH155" s="534"/>
      <c r="CI155" s="534">
        <f t="shared" si="233"/>
        <v>0</v>
      </c>
      <c r="CL155" s="534">
        <f>IF(ISNA(VLOOKUP(I155,Veg_Parameters!$A$3:$N$65,13,FALSE)),0,(VLOOKUP(I155,Veg_Parameters!$A$3:$N$65,13,FALSE)))</f>
        <v>0</v>
      </c>
      <c r="CM155" s="534">
        <f t="shared" si="234"/>
        <v>0</v>
      </c>
      <c r="CN155" s="534">
        <f>IF(ISNA(VLOOKUP(N155,Veg_Parameters!$A$3:$N$65,13,FALSE)),0,(VLOOKUP(N155,Veg_Parameters!$A$3:$N$65,13,FALSE)))</f>
        <v>0</v>
      </c>
      <c r="CO155" s="523">
        <f t="shared" si="235"/>
        <v>0</v>
      </c>
    </row>
    <row r="156" spans="1:93" x14ac:dyDescent="0.2">
      <c r="A156" s="227"/>
      <c r="B156" s="171" t="str">
        <f t="shared" si="236"/>
        <v/>
      </c>
      <c r="C156" s="230"/>
      <c r="D156" s="169"/>
      <c r="E156" s="165"/>
      <c r="F156" s="165"/>
      <c r="G156" s="165"/>
      <c r="H156" s="165"/>
      <c r="I156" s="168"/>
      <c r="J156" s="167"/>
      <c r="K156" s="168"/>
      <c r="L156" s="167"/>
      <c r="M156" s="167"/>
      <c r="N156" s="168"/>
      <c r="O156" s="168"/>
      <c r="P156" s="167"/>
      <c r="Q156" s="167"/>
      <c r="R156" s="167"/>
      <c r="S156" s="222" t="str">
        <f>IF(ISBLANK(A156),"",IF(ISNA(VLOOKUP(I156,Veg_Parameters!$A$3:$N$65,3,FALSE)),0,(VLOOKUP(I156,Veg_Parameters!$A$3:$N$65,3,FALSE))))</f>
        <v/>
      </c>
      <c r="T156" s="222" t="str">
        <f>IF(ISBLANK(N156),"",IF(ISNA(VLOOKUP(N156,Veg_Parameters!$A$3:$N$65,3,FALSE)),0,(VLOOKUP(N156,Veg_Parameters!$A$3:$N$65,3,FALSE))))</f>
        <v/>
      </c>
      <c r="U156" s="523">
        <f t="shared" si="218"/>
        <v>0</v>
      </c>
      <c r="V156" s="523">
        <f t="shared" si="194"/>
        <v>0</v>
      </c>
      <c r="W156" s="524">
        <f>IF(ISBLANK(A156),0,IF(ISNA(VLOOKUP($I156,Veg_Parameters!$A$3:$N$65,10,FALSE)),0,(VLOOKUP($I156,Veg_Parameters!$A$3:$N$65,10,FALSE))))</f>
        <v>0</v>
      </c>
      <c r="X156" s="524">
        <f>IF(ISBLANK(A156),0,IF(ISNA(VLOOKUP($I156,Veg_Parameters!$A$3:$N$65,11,FALSE)),0,(VLOOKUP($I156,Veg_Parameters!$A$3:$N$65,11,FALSE))))</f>
        <v>0</v>
      </c>
      <c r="Y156" s="524">
        <f>IF(ISBLANK(A156),0,IF(ISNA(VLOOKUP($I156,Veg_Parameters!$A$3:$N$65,12,FALSE)),0,(VLOOKUP($I156,Veg_Parameters!$A$3:$N$65,12,FALSE))))</f>
        <v>0</v>
      </c>
      <c r="Z156" s="525">
        <f t="shared" si="195"/>
        <v>0</v>
      </c>
      <c r="AA156" s="525">
        <f t="shared" si="196"/>
        <v>0</v>
      </c>
      <c r="AB156" s="525">
        <f t="shared" si="197"/>
        <v>0</v>
      </c>
      <c r="AC156" s="524">
        <f>IF(ISBLANK(N156),0,IF(ISNA(VLOOKUP($N156,Veg_Parameters!$A$3:$N$65,10,FALSE)),0,(VLOOKUP($N156,Veg_Parameters!$A$3:$N$65,10,FALSE))))</f>
        <v>0</v>
      </c>
      <c r="AD156" s="524">
        <f>IF(ISBLANK(N156),0,IF(ISNA(VLOOKUP($N156,Veg_Parameters!$A$3:$N$65,11,FALSE)),0,(VLOOKUP($N156,Veg_Parameters!$A$3:$N$65,11,FALSE))))</f>
        <v>0</v>
      </c>
      <c r="AE156" s="524">
        <f>IF(ISBLANK(N156), 0, IF(ISNA(VLOOKUP($N156,Veg_Parameters!$A$3:$N$65,12,FALSE)),0,(VLOOKUP($N156,Veg_Parameters!$A$3:$N$65,12,FALSE))))</f>
        <v>0</v>
      </c>
      <c r="AF156" s="523">
        <f t="shared" si="198"/>
        <v>0</v>
      </c>
      <c r="AG156" s="523">
        <f t="shared" si="199"/>
        <v>0</v>
      </c>
      <c r="AH156" s="523">
        <f t="shared" si="200"/>
        <v>0</v>
      </c>
      <c r="AI156" s="526"/>
      <c r="AJ156" s="527">
        <f>AB156*(IF(ISNA(VLOOKUP($I156,Veg_Parameters!$A$3:$N$65,5,FALSE)),0,(VLOOKUP($I156,Veg_Parameters!$A$3:$N$65,5,FALSE))))</f>
        <v>0</v>
      </c>
      <c r="AK156" s="527">
        <f>IF(ISNA(VLOOKUP($I156,Veg_Parameters!$A$3:$N$65,4,FALSE)),0,(VLOOKUP($I156,Veg_Parameters!$A$3:$N$65,4,FALSE)))</f>
        <v>0</v>
      </c>
      <c r="AL156" s="527">
        <f>AB156*(IF(ISNA(VLOOKUP($I156,Veg_Parameters!$A$3:$N$65,7,FALSE)),0, (VLOOKUP($I156,Veg_Parameters!$A$3:$N$65,7,FALSE))))</f>
        <v>0</v>
      </c>
      <c r="AM156" s="528">
        <f>IF(ISNA(VLOOKUP($I156,Veg_Parameters!$A$3:$N$65,6,FALSE)), 0, (VLOOKUP($I156,Veg_Parameters!$A$3:$N$65,6,FALSE)))</f>
        <v>0</v>
      </c>
      <c r="AN156" s="529">
        <f t="shared" si="201"/>
        <v>20</v>
      </c>
      <c r="AO156" s="529">
        <f t="shared" si="202"/>
        <v>0</v>
      </c>
      <c r="AP156" s="529">
        <f t="shared" si="203"/>
        <v>0</v>
      </c>
      <c r="AQ156" s="530">
        <f t="shared" si="219"/>
        <v>0</v>
      </c>
      <c r="AR156" s="527" t="s">
        <v>3</v>
      </c>
      <c r="AS156" s="527">
        <f>IF(ISNA(VLOOKUP($I156,Veg_Parameters!$A$3:$N$65,8,FALSE)), 0, (VLOOKUP($I156,Veg_Parameters!$A$3:$N$65,8,FALSE)))</f>
        <v>0</v>
      </c>
      <c r="AT156" s="527">
        <f>AB156*(IF(ISNA(VLOOKUP($I156,Veg_Parameters!$A$3:$N$65,9,FALSE)), 0, (VLOOKUP($I156,Veg_Parameters!$A$3:$N$65,9,FALSE))))</f>
        <v>0</v>
      </c>
      <c r="AU156" s="527">
        <f>IF(ISBLANK(A156),0,VLOOKUP($I156,Veg_Parameters!$A$4:$U$65,21,))</f>
        <v>0</v>
      </c>
      <c r="AV156" s="527">
        <f t="shared" si="220"/>
        <v>0</v>
      </c>
      <c r="AW156" s="529">
        <f t="shared" si="221"/>
        <v>0</v>
      </c>
      <c r="AX156" s="529">
        <f t="shared" si="222"/>
        <v>0</v>
      </c>
      <c r="AY156" s="529">
        <f t="shared" si="204"/>
        <v>0</v>
      </c>
      <c r="AZ156" s="529">
        <f t="shared" si="223"/>
        <v>0</v>
      </c>
      <c r="BA156" s="529">
        <f t="shared" si="224"/>
        <v>0</v>
      </c>
      <c r="BB156" s="529">
        <f t="shared" si="225"/>
        <v>0</v>
      </c>
      <c r="BC156" s="529">
        <f t="shared" si="205"/>
        <v>0</v>
      </c>
      <c r="BD156" s="531"/>
      <c r="BE156" s="527">
        <f>AH156*(IF(ISNA(VLOOKUP($N156,Veg_Parameters!$A$3:$N$65,5,FALSE)),0,(VLOOKUP($N156,Veg_Parameters!$A$3:$N$65,5,FALSE))))</f>
        <v>0</v>
      </c>
      <c r="BF156" s="527">
        <f>IF(ISNA(VLOOKUP($N156,Veg_Parameters!$A$3:$N$65,4,FALSE)),0,(VLOOKUP($N156,Veg_Parameters!$A$3:$N$65,4,FALSE)))</f>
        <v>0</v>
      </c>
      <c r="BG156" s="527">
        <f>AH156*(IF(ISNA(VLOOKUP($N156,Veg_Parameters!$A$3:$N$65,7,FALSE)),0, (VLOOKUP($N156,Veg_Parameters!$A$3:$N$65,7,FALSE))))</f>
        <v>0</v>
      </c>
      <c r="BH156" s="527">
        <f>IF(ISNA(VLOOKUP($N156,Veg_Parameters!$A$3:$N$65,6,FALSE)), 0, (VLOOKUP($N156,Veg_Parameters!$A$3:$N$65,6,FALSE)))</f>
        <v>0</v>
      </c>
      <c r="BI156" s="529">
        <f t="shared" si="206"/>
        <v>20</v>
      </c>
      <c r="BJ156" s="529">
        <f t="shared" si="226"/>
        <v>0</v>
      </c>
      <c r="BK156" s="529">
        <f t="shared" si="207"/>
        <v>0</v>
      </c>
      <c r="BL156" s="530">
        <f t="shared" si="227"/>
        <v>0</v>
      </c>
      <c r="BM156" s="527" t="s">
        <v>3</v>
      </c>
      <c r="BN156" s="527">
        <f>IF(ISNA(VLOOKUP(N156,Veg_Parameters!$A$3:$N$65,8,FALSE)), 0, (VLOOKUP($N156,Veg_Parameters!$A$3:$N$65,8,FALSE)))</f>
        <v>0</v>
      </c>
      <c r="BO156" s="527">
        <f>AH156*(IF(ISNA(VLOOKUP($N156,Veg_Parameters!$A$3:$N$65,9,FALSE)), 0, (VLOOKUP($N156,Veg_Parameters!$A$3:$N$65,9,FALSE))))</f>
        <v>0</v>
      </c>
      <c r="BP156" s="527" t="str">
        <f>IF(ISBLANK(N156),"0",VLOOKUP($N156,Veg_Parameters!$A$4:$U$65,21,))</f>
        <v>0</v>
      </c>
      <c r="BQ156" s="529">
        <f t="shared" si="228"/>
        <v>0</v>
      </c>
      <c r="BR156" s="529">
        <f t="shared" si="229"/>
        <v>0</v>
      </c>
      <c r="BS156" s="529">
        <f t="shared" si="208"/>
        <v>0</v>
      </c>
      <c r="BT156" s="529">
        <f t="shared" si="230"/>
        <v>0</v>
      </c>
      <c r="BU156" s="529">
        <f t="shared" si="231"/>
        <v>0</v>
      </c>
      <c r="BV156" s="529">
        <f t="shared" si="232"/>
        <v>0</v>
      </c>
      <c r="BW156" s="532" t="str">
        <f t="shared" si="209"/>
        <v/>
      </c>
      <c r="BX156" s="532" t="str">
        <f t="shared" si="210"/>
        <v/>
      </c>
      <c r="BY156" s="532" t="str">
        <f t="shared" si="211"/>
        <v/>
      </c>
      <c r="BZ156" s="532" t="str">
        <f t="shared" si="212"/>
        <v/>
      </c>
      <c r="CA156" s="532">
        <f t="shared" si="213"/>
        <v>0</v>
      </c>
      <c r="CB156" s="533"/>
      <c r="CC156" s="624">
        <f t="shared" si="214"/>
        <v>0</v>
      </c>
      <c r="CD156" s="534">
        <f t="shared" si="215"/>
        <v>0</v>
      </c>
      <c r="CE156" s="534">
        <f t="shared" si="216"/>
        <v>0</v>
      </c>
      <c r="CF156" s="534">
        <f t="shared" si="217"/>
        <v>0</v>
      </c>
      <c r="CG156" s="534"/>
      <c r="CH156" s="534"/>
      <c r="CI156" s="534">
        <f t="shared" si="233"/>
        <v>0</v>
      </c>
      <c r="CL156" s="534">
        <f>IF(ISNA(VLOOKUP(I156,Veg_Parameters!$A$3:$N$65,13,FALSE)),0,(VLOOKUP(I156,Veg_Parameters!$A$3:$N$65,13,FALSE)))</f>
        <v>0</v>
      </c>
      <c r="CM156" s="534">
        <f t="shared" si="234"/>
        <v>0</v>
      </c>
      <c r="CN156" s="534">
        <f>IF(ISNA(VLOOKUP(N156,Veg_Parameters!$A$3:$N$65,13,FALSE)),0,(VLOOKUP(N156,Veg_Parameters!$A$3:$N$65,13,FALSE)))</f>
        <v>0</v>
      </c>
      <c r="CO156" s="523">
        <f t="shared" si="235"/>
        <v>0</v>
      </c>
    </row>
    <row r="157" spans="1:93" ht="13.5" thickBot="1" x14ac:dyDescent="0.25">
      <c r="A157" s="227"/>
      <c r="B157" s="171" t="str">
        <f t="shared" si="236"/>
        <v/>
      </c>
      <c r="C157" s="230"/>
      <c r="D157" s="169"/>
      <c r="E157" s="165"/>
      <c r="F157" s="165"/>
      <c r="G157" s="165"/>
      <c r="H157" s="165"/>
      <c r="I157" s="168"/>
      <c r="J157" s="167"/>
      <c r="K157" s="168"/>
      <c r="L157" s="167"/>
      <c r="M157" s="167"/>
      <c r="N157" s="168"/>
      <c r="O157" s="168"/>
      <c r="P157" s="167"/>
      <c r="Q157" s="167"/>
      <c r="R157" s="167"/>
      <c r="S157" s="222" t="str">
        <f>IF(ISBLANK(A157),"",IF(ISNA(VLOOKUP(I157,Veg_Parameters!$A$3:$N$65,3,FALSE)),0,(VLOOKUP(I157,Veg_Parameters!$A$3:$N$65,3,FALSE))))</f>
        <v/>
      </c>
      <c r="T157" s="222" t="str">
        <f>IF(ISBLANK(N157),"",IF(ISNA(VLOOKUP(N157,Veg_Parameters!$A$3:$N$65,3,FALSE)),0,(VLOOKUP(N157,Veg_Parameters!$A$3:$N$65,3,FALSE))))</f>
        <v/>
      </c>
      <c r="U157" s="523">
        <f t="shared" si="218"/>
        <v>0</v>
      </c>
      <c r="V157" s="523">
        <f t="shared" si="194"/>
        <v>0</v>
      </c>
      <c r="W157" s="524">
        <f>IF(ISBLANK(A157),0,IF(ISNA(VLOOKUP($I157,Veg_Parameters!$A$3:$N$65,10,FALSE)),0,(VLOOKUP($I157,Veg_Parameters!$A$3:$N$65,10,FALSE))))</f>
        <v>0</v>
      </c>
      <c r="X157" s="524">
        <f>IF(ISBLANK(A157),0,IF(ISNA(VLOOKUP($I157,Veg_Parameters!$A$3:$N$65,11,FALSE)),0,(VLOOKUP($I157,Veg_Parameters!$A$3:$N$65,11,FALSE))))</f>
        <v>0</v>
      </c>
      <c r="Y157" s="524">
        <f>IF(ISBLANK(A157),0,IF(ISNA(VLOOKUP($I157,Veg_Parameters!$A$3:$N$65,12,FALSE)),0,(VLOOKUP($I157,Veg_Parameters!$A$3:$N$65,12,FALSE))))</f>
        <v>0</v>
      </c>
      <c r="Z157" s="525">
        <f t="shared" si="195"/>
        <v>0</v>
      </c>
      <c r="AA157" s="525">
        <f t="shared" si="196"/>
        <v>0</v>
      </c>
      <c r="AB157" s="525">
        <f t="shared" si="197"/>
        <v>0</v>
      </c>
      <c r="AC157" s="524">
        <f>IF(ISBLANK(N157),0,IF(ISNA(VLOOKUP($N157,Veg_Parameters!$A$3:$N$65,10,FALSE)),0,(VLOOKUP($N157,Veg_Parameters!$A$3:$N$65,10,FALSE))))</f>
        <v>0</v>
      </c>
      <c r="AD157" s="524">
        <f>IF(ISBLANK(N157),0,IF(ISNA(VLOOKUP($N157,Veg_Parameters!$A$3:$N$65,11,FALSE)),0,(VLOOKUP($N157,Veg_Parameters!$A$3:$N$65,11,FALSE))))</f>
        <v>0</v>
      </c>
      <c r="AE157" s="524">
        <f>IF(ISBLANK(N157), 0, IF(ISNA(VLOOKUP($N157,Veg_Parameters!$A$3:$N$65,12,FALSE)),0,(VLOOKUP($N157,Veg_Parameters!$A$3:$N$65,12,FALSE))))</f>
        <v>0</v>
      </c>
      <c r="AF157" s="523">
        <f t="shared" si="198"/>
        <v>0</v>
      </c>
      <c r="AG157" s="523">
        <f t="shared" si="199"/>
        <v>0</v>
      </c>
      <c r="AH157" s="523">
        <f t="shared" si="200"/>
        <v>0</v>
      </c>
      <c r="AI157" s="526"/>
      <c r="AJ157" s="527">
        <f>AB157*(IF(ISNA(VLOOKUP($I157,Veg_Parameters!$A$3:$N$65,5,FALSE)),0,(VLOOKUP($I157,Veg_Parameters!$A$3:$N$65,5,FALSE))))</f>
        <v>0</v>
      </c>
      <c r="AK157" s="527">
        <f>IF(ISNA(VLOOKUP($I157,Veg_Parameters!$A$3:$N$65,4,FALSE)),0,(VLOOKUP($I157,Veg_Parameters!$A$3:$N$65,4,FALSE)))</f>
        <v>0</v>
      </c>
      <c r="AL157" s="527">
        <f>AB157*(IF(ISNA(VLOOKUP($I157,Veg_Parameters!$A$3:$N$65,7,FALSE)),0, (VLOOKUP($I157,Veg_Parameters!$A$3:$N$65,7,FALSE))))</f>
        <v>0</v>
      </c>
      <c r="AM157" s="528">
        <f>IF(ISNA(VLOOKUP($I157,Veg_Parameters!$A$3:$N$65,6,FALSE)), 0, (VLOOKUP($I157,Veg_Parameters!$A$3:$N$65,6,FALSE)))</f>
        <v>0</v>
      </c>
      <c r="AN157" s="529">
        <f t="shared" si="201"/>
        <v>20</v>
      </c>
      <c r="AO157" s="529">
        <f t="shared" si="202"/>
        <v>0</v>
      </c>
      <c r="AP157" s="529">
        <f t="shared" si="203"/>
        <v>0</v>
      </c>
      <c r="AQ157" s="530">
        <f t="shared" si="219"/>
        <v>0</v>
      </c>
      <c r="AR157" s="527" t="s">
        <v>3</v>
      </c>
      <c r="AS157" s="527">
        <f>IF(ISNA(VLOOKUP($I157,Veg_Parameters!$A$3:$N$65,8,FALSE)), 0, (VLOOKUP($I157,Veg_Parameters!$A$3:$N$65,8,FALSE)))</f>
        <v>0</v>
      </c>
      <c r="AT157" s="527">
        <f>AB157*(IF(ISNA(VLOOKUP($I157,Veg_Parameters!$A$3:$N$65,9,FALSE)), 0, (VLOOKUP($I157,Veg_Parameters!$A$3:$N$65,9,FALSE))))</f>
        <v>0</v>
      </c>
      <c r="AU157" s="527">
        <f>IF(ISBLANK(A157),0,VLOOKUP($I157,Veg_Parameters!$A$4:$U$65,21,))</f>
        <v>0</v>
      </c>
      <c r="AV157" s="527">
        <f t="shared" si="220"/>
        <v>0</v>
      </c>
      <c r="AW157" s="529">
        <f t="shared" si="221"/>
        <v>0</v>
      </c>
      <c r="AX157" s="529">
        <f t="shared" si="222"/>
        <v>0</v>
      </c>
      <c r="AY157" s="529">
        <f t="shared" si="204"/>
        <v>0</v>
      </c>
      <c r="AZ157" s="529">
        <f t="shared" si="223"/>
        <v>0</v>
      </c>
      <c r="BA157" s="529">
        <f t="shared" si="224"/>
        <v>0</v>
      </c>
      <c r="BB157" s="529">
        <f t="shared" si="225"/>
        <v>0</v>
      </c>
      <c r="BC157" s="529">
        <f t="shared" si="205"/>
        <v>0</v>
      </c>
      <c r="BD157" s="531"/>
      <c r="BE157" s="527">
        <f>AH157*(IF(ISNA(VLOOKUP($N157,Veg_Parameters!$A$3:$N$65,5,FALSE)),0,(VLOOKUP($N157,Veg_Parameters!$A$3:$N$65,5,FALSE))))</f>
        <v>0</v>
      </c>
      <c r="BF157" s="527">
        <f>IF(ISNA(VLOOKUP($N157,Veg_Parameters!$A$3:$N$65,4,FALSE)),0,(VLOOKUP($N157,Veg_Parameters!$A$3:$N$65,4,FALSE)))</f>
        <v>0</v>
      </c>
      <c r="BG157" s="527">
        <f>AH157*(IF(ISNA(VLOOKUP($N157,Veg_Parameters!$A$3:$N$65,7,FALSE)),0, (VLOOKUP($N157,Veg_Parameters!$A$3:$N$65,7,FALSE))))</f>
        <v>0</v>
      </c>
      <c r="BH157" s="527">
        <f>IF(ISNA(VLOOKUP($N157,Veg_Parameters!$A$3:$N$65,6,FALSE)), 0, (VLOOKUP($N157,Veg_Parameters!$A$3:$N$65,6,FALSE)))</f>
        <v>0</v>
      </c>
      <c r="BI157" s="529">
        <f t="shared" si="206"/>
        <v>20</v>
      </c>
      <c r="BJ157" s="529">
        <f t="shared" si="226"/>
        <v>0</v>
      </c>
      <c r="BK157" s="529">
        <f t="shared" si="207"/>
        <v>0</v>
      </c>
      <c r="BL157" s="530">
        <f t="shared" si="227"/>
        <v>0</v>
      </c>
      <c r="BM157" s="527" t="s">
        <v>3</v>
      </c>
      <c r="BN157" s="527">
        <f>IF(ISNA(VLOOKUP(N157,Veg_Parameters!$A$3:$N$65,8,FALSE)), 0, (VLOOKUP($N157,Veg_Parameters!$A$3:$N$65,8,FALSE)))</f>
        <v>0</v>
      </c>
      <c r="BO157" s="527">
        <f>AH157*(IF(ISNA(VLOOKUP($N157,Veg_Parameters!$A$3:$N$65,9,FALSE)), 0, (VLOOKUP($N157,Veg_Parameters!$A$3:$N$65,9,FALSE))))</f>
        <v>0</v>
      </c>
      <c r="BP157" s="527" t="str">
        <f>IF(ISBLANK(N157),"0",VLOOKUP($N157,Veg_Parameters!$A$4:$U$65,21,))</f>
        <v>0</v>
      </c>
      <c r="BQ157" s="529">
        <f t="shared" si="228"/>
        <v>0</v>
      </c>
      <c r="BR157" s="529">
        <f t="shared" si="229"/>
        <v>0</v>
      </c>
      <c r="BS157" s="529">
        <f t="shared" si="208"/>
        <v>0</v>
      </c>
      <c r="BT157" s="529">
        <f t="shared" si="230"/>
        <v>0</v>
      </c>
      <c r="BU157" s="529">
        <f t="shared" si="231"/>
        <v>0</v>
      </c>
      <c r="BV157" s="529">
        <f t="shared" si="232"/>
        <v>0</v>
      </c>
      <c r="BW157" s="532" t="str">
        <f t="shared" si="209"/>
        <v/>
      </c>
      <c r="BX157" s="532" t="str">
        <f t="shared" si="210"/>
        <v/>
      </c>
      <c r="BY157" s="532" t="str">
        <f t="shared" si="211"/>
        <v/>
      </c>
      <c r="BZ157" s="532" t="str">
        <f t="shared" si="212"/>
        <v/>
      </c>
      <c r="CA157" s="532">
        <f t="shared" si="213"/>
        <v>0</v>
      </c>
      <c r="CB157" s="533"/>
      <c r="CC157" s="624">
        <f t="shared" si="214"/>
        <v>0</v>
      </c>
      <c r="CD157" s="534">
        <f t="shared" si="215"/>
        <v>0</v>
      </c>
      <c r="CE157" s="534">
        <f t="shared" si="216"/>
        <v>0</v>
      </c>
      <c r="CF157" s="534">
        <f t="shared" si="217"/>
        <v>0</v>
      </c>
      <c r="CG157" s="534"/>
      <c r="CH157" s="534"/>
      <c r="CI157" s="534">
        <f t="shared" si="233"/>
        <v>0</v>
      </c>
      <c r="CL157" s="534">
        <f>IF(ISNA(VLOOKUP(I157,Veg_Parameters!$A$3:$N$65,13,FALSE)),0,(VLOOKUP(I157,Veg_Parameters!$A$3:$N$65,13,FALSE)))</f>
        <v>0</v>
      </c>
      <c r="CM157" s="534">
        <f t="shared" si="234"/>
        <v>0</v>
      </c>
      <c r="CN157" s="534">
        <f>IF(ISNA(VLOOKUP(N157,Veg_Parameters!$A$3:$N$65,13,FALSE)),0,(VLOOKUP(N157,Veg_Parameters!$A$3:$N$65,13,FALSE)))</f>
        <v>0</v>
      </c>
      <c r="CO157" s="523">
        <f t="shared" si="235"/>
        <v>0</v>
      </c>
    </row>
    <row r="158" spans="1:93" ht="13.5" thickBot="1" x14ac:dyDescent="0.25">
      <c r="A158" s="231" t="s">
        <v>70</v>
      </c>
      <c r="B158" s="186" t="str">
        <f>IF(ISBLANK(B133),"",B133)</f>
        <v/>
      </c>
      <c r="C158" s="231"/>
      <c r="D158" s="188"/>
      <c r="E158" s="188"/>
      <c r="F158" s="188"/>
      <c r="G158" s="189" t="str">
        <f>IFERROR((SUMPRODUCT($U133:$U157,G133:G157))/(100*$U158),"")</f>
        <v/>
      </c>
      <c r="H158" s="189" t="str">
        <f>IFERROR((SUMPRODUCT($U133:$U157,H133:H157))/(100*$U158),"")</f>
        <v/>
      </c>
      <c r="I158" s="188"/>
      <c r="J158" s="188"/>
      <c r="K158" s="188"/>
      <c r="L158" s="188"/>
      <c r="M158" s="188" t="s">
        <v>27</v>
      </c>
      <c r="N158" s="188"/>
      <c r="O158" s="188"/>
      <c r="P158" s="188"/>
      <c r="Q158" s="188"/>
      <c r="R158" s="188" t="s">
        <v>27</v>
      </c>
      <c r="S158" s="223"/>
      <c r="T158" s="223"/>
      <c r="U158" s="562">
        <f>+SUM(U133:U157)</f>
        <v>0</v>
      </c>
      <c r="V158" s="535" t="str">
        <f>IFERROR(SUMPRODUCT(U133:U157, V133:V157)/U158,"")</f>
        <v/>
      </c>
      <c r="W158" s="536"/>
      <c r="X158" s="536"/>
      <c r="Y158" s="536"/>
      <c r="Z158" s="536"/>
      <c r="AA158" s="536"/>
      <c r="AB158" s="536"/>
      <c r="AC158" s="536"/>
      <c r="AD158" s="536"/>
      <c r="AE158" s="536"/>
      <c r="AF158" s="537"/>
      <c r="AG158" s="537"/>
      <c r="AH158" s="537"/>
      <c r="AI158" s="104"/>
      <c r="AJ158" s="538"/>
      <c r="AK158" s="538"/>
      <c r="AL158" s="539"/>
      <c r="AM158" s="540"/>
      <c r="AN158" s="541"/>
      <c r="AO158" s="538"/>
      <c r="AP158" s="542">
        <f>MAX(AP133:AP157)</f>
        <v>0</v>
      </c>
      <c r="AQ158" s="542" t="s">
        <v>27</v>
      </c>
      <c r="AR158" s="538"/>
      <c r="AS158" s="538"/>
      <c r="AT158" s="538"/>
      <c r="AU158" s="538"/>
      <c r="AV158" s="543">
        <f>SUM(AV133:AV157)</f>
        <v>0</v>
      </c>
      <c r="AW158" s="538"/>
      <c r="AX158" s="538"/>
      <c r="AY158" s="544"/>
      <c r="AZ158" s="544"/>
      <c r="BA158" s="544"/>
      <c r="BB158" s="544"/>
      <c r="BC158" s="544"/>
      <c r="BD158" s="538"/>
      <c r="BE158" s="538"/>
      <c r="BF158" s="538"/>
      <c r="BG158" s="539"/>
      <c r="BH158" s="540"/>
      <c r="BI158" s="541"/>
      <c r="BJ158" s="538"/>
      <c r="BK158" s="542">
        <f>MAX(BK133:BK157)</f>
        <v>0</v>
      </c>
      <c r="BL158" s="538"/>
      <c r="BM158" s="538"/>
      <c r="BN158" s="538"/>
      <c r="BO158" s="538"/>
      <c r="BP158" s="538"/>
      <c r="BQ158" s="538"/>
      <c r="BR158" s="538"/>
      <c r="BS158" s="544"/>
      <c r="BT158" s="544"/>
      <c r="BU158" s="544"/>
      <c r="BV158" s="544"/>
      <c r="BW158" s="545">
        <f>SUM(IF(FREQUENCY(BW133:BW157,BW133:BW157)&gt;0,1))</f>
        <v>0</v>
      </c>
      <c r="BX158" s="545">
        <f>SUM(IF(FREQUENCY(BX133:BX157,BX133:BX157)&gt;0,1))</f>
        <v>0</v>
      </c>
      <c r="BY158" s="545">
        <f>SUM(IF(FREQUENCY(BY133:BY157,BY133:BY157)&gt;0,1))</f>
        <v>0</v>
      </c>
      <c r="BZ158" s="545">
        <f>SUM(IF(FREQUENCY(BZ133:BZ157,BZ133:BZ157)&gt;0,1))</f>
        <v>0</v>
      </c>
      <c r="CA158" s="546"/>
      <c r="CB158" s="547"/>
      <c r="CC158" s="625" t="str">
        <f>+IFERROR(((SUM(CC133:CC157))/$U158),"")</f>
        <v/>
      </c>
      <c r="CD158" s="548" t="str">
        <f>+IFERROR(((SUM(CD133:CD157))/$U158),"")</f>
        <v/>
      </c>
      <c r="CE158" s="548" t="str">
        <f>+IFERROR(((SUM(CE133:CE157))/$U158),"")</f>
        <v/>
      </c>
      <c r="CF158" s="549" t="str">
        <f>+IFERROR(((SUM(CF133:CF157))/$U158),"")</f>
        <v/>
      </c>
      <c r="CG158" s="550">
        <f>SUM(IF(FREQUENCY(BW133:BX157,BW133:BX157)&gt;0,1))</f>
        <v>0</v>
      </c>
      <c r="CH158" s="551">
        <f>SUM(IF(FREQUENCY(BY133:BZ157,BY133:BZ157)&gt;0,1))</f>
        <v>0</v>
      </c>
      <c r="CI158" s="552">
        <f>+SUM(CI133:CI157)</f>
        <v>0</v>
      </c>
    </row>
    <row r="159" spans="1:93" ht="37.5" customHeight="1" thickBot="1" x14ac:dyDescent="0.25">
      <c r="A159" s="219"/>
      <c r="B159" s="48"/>
      <c r="C159" s="219"/>
      <c r="D159" s="49"/>
      <c r="E159" s="49"/>
      <c r="F159" s="49"/>
      <c r="G159" s="49"/>
      <c r="H159" s="49"/>
      <c r="I159" s="49"/>
      <c r="J159" s="49"/>
      <c r="K159" s="49"/>
      <c r="L159" s="49"/>
      <c r="M159" s="49"/>
      <c r="N159" s="49"/>
      <c r="O159" s="49"/>
      <c r="P159" s="49"/>
      <c r="Q159" s="49"/>
      <c r="R159" s="49"/>
      <c r="S159" s="219"/>
      <c r="T159" s="219"/>
      <c r="U159" s="554"/>
      <c r="V159" s="554"/>
      <c r="W159" s="490"/>
      <c r="X159" s="490"/>
      <c r="Y159" s="490"/>
      <c r="Z159" s="490"/>
      <c r="AA159" s="490"/>
      <c r="AB159" s="490"/>
      <c r="AC159" s="490"/>
      <c r="AD159" s="490"/>
      <c r="AE159" s="490"/>
      <c r="AF159" s="491"/>
      <c r="AG159" s="491"/>
      <c r="AH159" s="491"/>
      <c r="AI159" s="104"/>
      <c r="AJ159" s="477"/>
      <c r="AK159" s="477"/>
      <c r="AL159" s="477"/>
      <c r="AM159" s="477"/>
      <c r="AN159" s="477"/>
      <c r="AO159" s="477"/>
      <c r="AP159" s="477"/>
      <c r="AQ159" s="477"/>
      <c r="AR159" s="477"/>
      <c r="AS159" s="477"/>
      <c r="AT159" s="477"/>
      <c r="AU159" s="477"/>
      <c r="AV159" s="477"/>
      <c r="AW159" s="477"/>
      <c r="AX159" s="477"/>
      <c r="AY159" s="563"/>
      <c r="AZ159" s="564"/>
      <c r="BA159" s="564"/>
      <c r="BB159" s="564"/>
      <c r="BC159" s="564"/>
      <c r="BD159" s="477"/>
      <c r="BE159" s="477"/>
      <c r="BF159" s="477"/>
      <c r="BG159" s="477"/>
      <c r="BH159" s="477"/>
      <c r="BI159" s="477"/>
      <c r="BJ159" s="477"/>
      <c r="BK159" s="477"/>
      <c r="BL159" s="477"/>
      <c r="BM159" s="477"/>
      <c r="BN159" s="477"/>
      <c r="BO159" s="477"/>
      <c r="BP159" s="477"/>
      <c r="BQ159" s="477"/>
      <c r="BR159" s="477"/>
      <c r="BS159" s="290"/>
      <c r="BT159" s="104"/>
      <c r="BU159" s="104"/>
      <c r="BV159" s="104"/>
      <c r="BW159" s="555"/>
      <c r="BX159" s="555"/>
      <c r="BY159" s="555"/>
      <c r="BZ159" s="555"/>
      <c r="CA159" s="473"/>
      <c r="CB159" s="492"/>
      <c r="CC159" s="1164" t="s">
        <v>393</v>
      </c>
      <c r="CD159" s="1165"/>
      <c r="CE159" s="1165"/>
      <c r="CF159" s="1166"/>
      <c r="CG159" s="1162" t="s">
        <v>560</v>
      </c>
      <c r="CH159" s="1163"/>
      <c r="CI159" s="556" t="s">
        <v>553</v>
      </c>
    </row>
    <row r="160" spans="1:93" s="121" customFormat="1" x14ac:dyDescent="0.2">
      <c r="A160" s="224" t="s">
        <v>401</v>
      </c>
      <c r="B160" s="119"/>
      <c r="C160" s="224"/>
      <c r="D160" s="120"/>
      <c r="E160" s="120"/>
      <c r="F160" s="120"/>
      <c r="G160" s="120"/>
      <c r="H160" s="120"/>
      <c r="I160" s="120"/>
      <c r="J160" s="120"/>
      <c r="K160" s="120"/>
      <c r="L160" s="113"/>
      <c r="M160" s="120"/>
      <c r="N160" s="120"/>
      <c r="O160" s="120"/>
      <c r="P160" s="113"/>
      <c r="Q160" s="120"/>
      <c r="R160" s="120"/>
      <c r="S160" s="224"/>
      <c r="T160" s="224"/>
      <c r="U160" s="557"/>
      <c r="V160" s="557"/>
      <c r="W160" s="558"/>
      <c r="X160" s="558"/>
      <c r="Y160" s="558"/>
      <c r="Z160" s="558"/>
      <c r="AA160" s="558"/>
      <c r="AB160" s="558"/>
      <c r="AC160" s="558"/>
      <c r="AD160" s="558"/>
      <c r="AE160" s="558"/>
      <c r="AF160" s="559"/>
      <c r="AG160" s="559"/>
      <c r="AH160" s="559"/>
      <c r="AI160" s="104"/>
      <c r="AJ160" s="559"/>
      <c r="AK160" s="559"/>
      <c r="AL160" s="559"/>
      <c r="AM160" s="559"/>
      <c r="AN160" s="559"/>
      <c r="AO160" s="559"/>
      <c r="AP160" s="559"/>
      <c r="AQ160" s="559"/>
      <c r="AR160" s="559"/>
      <c r="AS160" s="559"/>
      <c r="AT160" s="559"/>
      <c r="AU160" s="559"/>
      <c r="AV160" s="559"/>
      <c r="AW160" s="559"/>
      <c r="AX160" s="559"/>
      <c r="AY160" s="559"/>
      <c r="AZ160" s="559"/>
      <c r="BA160" s="559"/>
      <c r="BB160" s="559"/>
      <c r="BC160" s="559"/>
      <c r="BD160" s="559"/>
      <c r="BE160" s="559"/>
      <c r="BF160" s="559"/>
      <c r="BG160" s="559"/>
      <c r="BH160" s="559"/>
      <c r="BI160" s="559"/>
      <c r="BJ160" s="559"/>
      <c r="BK160" s="559"/>
      <c r="BL160" s="559"/>
      <c r="BM160" s="559"/>
      <c r="BN160" s="559"/>
      <c r="BO160" s="559"/>
      <c r="BP160" s="559"/>
      <c r="BQ160" s="559"/>
      <c r="BR160" s="559"/>
      <c r="BS160" s="559"/>
      <c r="BT160" s="559"/>
      <c r="BU160" s="559"/>
      <c r="BV160" s="559"/>
      <c r="BW160" s="475"/>
      <c r="BX160" s="475"/>
      <c r="BY160" s="475"/>
      <c r="BZ160" s="475"/>
      <c r="CA160" s="475"/>
      <c r="CB160" s="475"/>
      <c r="CC160" s="626"/>
      <c r="CD160" s="560"/>
      <c r="CE160" s="560"/>
      <c r="CF160" s="560"/>
      <c r="CG160" s="560"/>
      <c r="CH160" s="560"/>
      <c r="CI160" s="560"/>
      <c r="CJ160" s="560"/>
      <c r="CK160" s="560"/>
      <c r="CL160" s="560"/>
      <c r="CM160" s="560"/>
      <c r="CN160" s="560"/>
      <c r="CO160" s="561"/>
    </row>
    <row r="161" spans="1:93" s="183" customFormat="1" ht="87" customHeight="1" x14ac:dyDescent="0.2">
      <c r="A161" s="228" t="s">
        <v>73</v>
      </c>
      <c r="B161" s="184" t="s">
        <v>421</v>
      </c>
      <c r="C161" s="293" t="s">
        <v>114</v>
      </c>
      <c r="D161" s="173" t="s">
        <v>53</v>
      </c>
      <c r="E161" s="173" t="s">
        <v>499</v>
      </c>
      <c r="F161" s="173" t="s">
        <v>394</v>
      </c>
      <c r="G161" s="173" t="s">
        <v>242</v>
      </c>
      <c r="H161" s="173" t="s">
        <v>563</v>
      </c>
      <c r="I161" s="173" t="s">
        <v>236</v>
      </c>
      <c r="J161" s="173" t="s">
        <v>240</v>
      </c>
      <c r="K161" s="173" t="s">
        <v>238</v>
      </c>
      <c r="L161" s="173" t="s">
        <v>554</v>
      </c>
      <c r="M161" s="173" t="s">
        <v>241</v>
      </c>
      <c r="N161" s="173" t="s">
        <v>237</v>
      </c>
      <c r="O161" s="173" t="s">
        <v>243</v>
      </c>
      <c r="P161" s="173" t="s">
        <v>239</v>
      </c>
      <c r="Q161" s="173" t="s">
        <v>555</v>
      </c>
      <c r="R161" s="173" t="s">
        <v>244</v>
      </c>
      <c r="S161" s="220" t="s">
        <v>245</v>
      </c>
      <c r="T161" s="220" t="s">
        <v>256</v>
      </c>
      <c r="U161" s="500" t="s">
        <v>53</v>
      </c>
      <c r="V161" s="500" t="s">
        <v>396</v>
      </c>
      <c r="W161" s="501" t="s">
        <v>508</v>
      </c>
      <c r="X161" s="501" t="s">
        <v>509</v>
      </c>
      <c r="Y161" s="501" t="s">
        <v>510</v>
      </c>
      <c r="Z161" s="501" t="s">
        <v>512</v>
      </c>
      <c r="AA161" s="501" t="s">
        <v>513</v>
      </c>
      <c r="AB161" s="501" t="s">
        <v>514</v>
      </c>
      <c r="AC161" s="501" t="s">
        <v>506</v>
      </c>
      <c r="AD161" s="501" t="s">
        <v>507</v>
      </c>
      <c r="AE161" s="501" t="s">
        <v>511</v>
      </c>
      <c r="AF161" s="501" t="s">
        <v>503</v>
      </c>
      <c r="AG161" s="501" t="s">
        <v>504</v>
      </c>
      <c r="AH161" s="501" t="s">
        <v>505</v>
      </c>
      <c r="AI161" s="502"/>
      <c r="AJ161" s="502" t="s">
        <v>246</v>
      </c>
      <c r="AK161" s="502" t="s">
        <v>247</v>
      </c>
      <c r="AL161" s="503" t="s">
        <v>248</v>
      </c>
      <c r="AM161" s="503" t="s">
        <v>249</v>
      </c>
      <c r="AN161" s="504" t="s">
        <v>250</v>
      </c>
      <c r="AO161" s="502" t="s">
        <v>270</v>
      </c>
      <c r="AP161" s="502" t="s">
        <v>271</v>
      </c>
      <c r="AQ161" s="503" t="s">
        <v>251</v>
      </c>
      <c r="AR161" s="503" t="s">
        <v>14</v>
      </c>
      <c r="AS161" s="503" t="s">
        <v>252</v>
      </c>
      <c r="AT161" s="503" t="s">
        <v>253</v>
      </c>
      <c r="AU161" s="503" t="s">
        <v>579</v>
      </c>
      <c r="AV161" s="503" t="s">
        <v>578</v>
      </c>
      <c r="AW161" s="503" t="s">
        <v>254</v>
      </c>
      <c r="AX161" s="503" t="s">
        <v>255</v>
      </c>
      <c r="AY161" s="503" t="s">
        <v>391</v>
      </c>
      <c r="AZ161" s="503" t="s">
        <v>267</v>
      </c>
      <c r="BA161" s="503" t="s">
        <v>272</v>
      </c>
      <c r="BB161" s="503" t="s">
        <v>273</v>
      </c>
      <c r="BC161" s="502" t="s">
        <v>539</v>
      </c>
      <c r="BD161" s="503"/>
      <c r="BE161" s="502" t="s">
        <v>257</v>
      </c>
      <c r="BF161" s="502" t="s">
        <v>258</v>
      </c>
      <c r="BG161" s="503" t="s">
        <v>259</v>
      </c>
      <c r="BH161" s="503" t="s">
        <v>260</v>
      </c>
      <c r="BI161" s="504" t="s">
        <v>261</v>
      </c>
      <c r="BJ161" s="502" t="s">
        <v>275</v>
      </c>
      <c r="BK161" s="502" t="s">
        <v>274</v>
      </c>
      <c r="BL161" s="503" t="s">
        <v>262</v>
      </c>
      <c r="BM161" s="503" t="s">
        <v>14</v>
      </c>
      <c r="BN161" s="503" t="s">
        <v>263</v>
      </c>
      <c r="BO161" s="503" t="s">
        <v>264</v>
      </c>
      <c r="BP161" s="503" t="s">
        <v>542</v>
      </c>
      <c r="BQ161" s="503" t="s">
        <v>265</v>
      </c>
      <c r="BR161" s="503" t="s">
        <v>266</v>
      </c>
      <c r="BS161" s="503" t="s">
        <v>392</v>
      </c>
      <c r="BT161" s="503" t="s">
        <v>276</v>
      </c>
      <c r="BU161" s="503" t="s">
        <v>277</v>
      </c>
      <c r="BV161" s="503" t="s">
        <v>278</v>
      </c>
      <c r="BW161" s="503" t="s">
        <v>556</v>
      </c>
      <c r="BX161" s="503" t="s">
        <v>559</v>
      </c>
      <c r="BY161" s="503" t="s">
        <v>557</v>
      </c>
      <c r="BZ161" s="503" t="s">
        <v>558</v>
      </c>
      <c r="CA161" s="505" t="s">
        <v>543</v>
      </c>
      <c r="CB161" s="506"/>
      <c r="CC161" s="622" t="s">
        <v>279</v>
      </c>
      <c r="CD161" s="506" t="s">
        <v>280</v>
      </c>
      <c r="CE161" s="506" t="s">
        <v>281</v>
      </c>
      <c r="CF161" s="506" t="s">
        <v>282</v>
      </c>
      <c r="CG161" s="506" t="s">
        <v>283</v>
      </c>
      <c r="CH161" s="506" t="s">
        <v>284</v>
      </c>
      <c r="CI161" s="506" t="s">
        <v>545</v>
      </c>
      <c r="CJ161" s="507"/>
      <c r="CK161" s="507"/>
      <c r="CL161" s="506" t="s">
        <v>422</v>
      </c>
      <c r="CM161" s="506" t="s">
        <v>516</v>
      </c>
      <c r="CN161" s="506" t="s">
        <v>423</v>
      </c>
      <c r="CO161" s="508" t="s">
        <v>517</v>
      </c>
    </row>
    <row r="162" spans="1:93" s="16" customFormat="1" ht="27" customHeight="1" x14ac:dyDescent="0.2">
      <c r="A162" s="229" t="s">
        <v>5</v>
      </c>
      <c r="B162" s="185" t="s">
        <v>28</v>
      </c>
      <c r="C162" s="294" t="s">
        <v>5</v>
      </c>
      <c r="D162" s="174" t="s">
        <v>119</v>
      </c>
      <c r="E162" s="174" t="s">
        <v>498</v>
      </c>
      <c r="F162" s="174" t="s">
        <v>268</v>
      </c>
      <c r="G162" s="174" t="s">
        <v>60</v>
      </c>
      <c r="H162" s="174"/>
      <c r="I162" s="174" t="s">
        <v>28</v>
      </c>
      <c r="J162" s="174" t="s">
        <v>15</v>
      </c>
      <c r="K162" s="174" t="s">
        <v>269</v>
      </c>
      <c r="L162" s="174" t="s">
        <v>61</v>
      </c>
      <c r="M162" s="174" t="s">
        <v>5</v>
      </c>
      <c r="N162" s="174" t="s">
        <v>28</v>
      </c>
      <c r="O162" s="174" t="s">
        <v>15</v>
      </c>
      <c r="P162" s="174" t="s">
        <v>269</v>
      </c>
      <c r="Q162" s="174" t="s">
        <v>61</v>
      </c>
      <c r="R162" s="174" t="s">
        <v>5</v>
      </c>
      <c r="S162" s="221" t="s">
        <v>16</v>
      </c>
      <c r="T162" s="221" t="s">
        <v>16</v>
      </c>
      <c r="U162" s="509" t="s">
        <v>59</v>
      </c>
      <c r="V162" s="509" t="s">
        <v>5</v>
      </c>
      <c r="W162" s="510" t="s">
        <v>60</v>
      </c>
      <c r="X162" s="510" t="s">
        <v>60</v>
      </c>
      <c r="Y162" s="510" t="s">
        <v>60</v>
      </c>
      <c r="Z162" s="511" t="s">
        <v>60</v>
      </c>
      <c r="AA162" s="511" t="s">
        <v>60</v>
      </c>
      <c r="AB162" s="511" t="s">
        <v>60</v>
      </c>
      <c r="AC162" s="510" t="s">
        <v>60</v>
      </c>
      <c r="AD162" s="510" t="s">
        <v>60</v>
      </c>
      <c r="AE162" s="510"/>
      <c r="AF162" s="511" t="s">
        <v>60</v>
      </c>
      <c r="AG162" s="511" t="s">
        <v>60</v>
      </c>
      <c r="AH162" s="511" t="s">
        <v>60</v>
      </c>
      <c r="AI162" s="512"/>
      <c r="AJ162" s="512" t="s">
        <v>17</v>
      </c>
      <c r="AK162" s="512" t="s">
        <v>18</v>
      </c>
      <c r="AL162" s="513" t="s">
        <v>51</v>
      </c>
      <c r="AM162" s="514" t="s">
        <v>60</v>
      </c>
      <c r="AN162" s="515" t="s">
        <v>52</v>
      </c>
      <c r="AO162" s="516" t="s">
        <v>18</v>
      </c>
      <c r="AP162" s="516" t="s">
        <v>18</v>
      </c>
      <c r="AQ162" s="517" t="s">
        <v>60</v>
      </c>
      <c r="AR162" s="517" t="s">
        <v>18</v>
      </c>
      <c r="AS162" s="517" t="s">
        <v>18</v>
      </c>
      <c r="AT162" s="517" t="s">
        <v>17</v>
      </c>
      <c r="AU162" s="517" t="s">
        <v>538</v>
      </c>
      <c r="AV162" s="517" t="s">
        <v>59</v>
      </c>
      <c r="AW162" s="517" t="s">
        <v>18</v>
      </c>
      <c r="AX162" s="517" t="s">
        <v>59</v>
      </c>
      <c r="AY162" s="517" t="s">
        <v>59</v>
      </c>
      <c r="AZ162" s="517" t="s">
        <v>59</v>
      </c>
      <c r="BA162" s="517" t="s">
        <v>59</v>
      </c>
      <c r="BB162" s="517" t="s">
        <v>59</v>
      </c>
      <c r="BC162" s="512" t="s">
        <v>59</v>
      </c>
      <c r="BD162" s="518"/>
      <c r="BE162" s="512" t="s">
        <v>17</v>
      </c>
      <c r="BF162" s="512" t="s">
        <v>18</v>
      </c>
      <c r="BG162" s="513" t="s">
        <v>51</v>
      </c>
      <c r="BH162" s="514" t="s">
        <v>60</v>
      </c>
      <c r="BI162" s="515" t="s">
        <v>52</v>
      </c>
      <c r="BJ162" s="516" t="s">
        <v>18</v>
      </c>
      <c r="BK162" s="516" t="s">
        <v>18</v>
      </c>
      <c r="BL162" s="517" t="s">
        <v>60</v>
      </c>
      <c r="BM162" s="517" t="s">
        <v>18</v>
      </c>
      <c r="BN162" s="517" t="s">
        <v>18</v>
      </c>
      <c r="BO162" s="517" t="s">
        <v>17</v>
      </c>
      <c r="BP162" s="517" t="s">
        <v>538</v>
      </c>
      <c r="BQ162" s="517" t="s">
        <v>18</v>
      </c>
      <c r="BR162" s="517" t="s">
        <v>59</v>
      </c>
      <c r="BS162" s="517" t="s">
        <v>59</v>
      </c>
      <c r="BT162" s="517" t="s">
        <v>59</v>
      </c>
      <c r="BU162" s="517" t="s">
        <v>59</v>
      </c>
      <c r="BV162" s="517" t="s">
        <v>59</v>
      </c>
      <c r="BW162" s="519" t="s">
        <v>386</v>
      </c>
      <c r="BX162" s="519" t="s">
        <v>386</v>
      </c>
      <c r="BY162" s="519" t="s">
        <v>387</v>
      </c>
      <c r="BZ162" s="519" t="s">
        <v>387</v>
      </c>
      <c r="CA162" s="519" t="s">
        <v>59</v>
      </c>
      <c r="CB162" s="520"/>
      <c r="CC162" s="623" t="s">
        <v>59</v>
      </c>
      <c r="CD162" s="520" t="s">
        <v>59</v>
      </c>
      <c r="CE162" s="520" t="s">
        <v>59</v>
      </c>
      <c r="CF162" s="520" t="s">
        <v>59</v>
      </c>
      <c r="CG162" s="520" t="s">
        <v>386</v>
      </c>
      <c r="CH162" s="520" t="s">
        <v>387</v>
      </c>
      <c r="CI162" s="520" t="s">
        <v>59</v>
      </c>
      <c r="CJ162" s="521"/>
      <c r="CK162" s="521"/>
      <c r="CL162" s="520" t="s">
        <v>28</v>
      </c>
      <c r="CM162" s="520" t="s">
        <v>59</v>
      </c>
      <c r="CN162" s="520" t="s">
        <v>28</v>
      </c>
      <c r="CO162" s="522" t="s">
        <v>59</v>
      </c>
    </row>
    <row r="163" spans="1:93" x14ac:dyDescent="0.2">
      <c r="A163" s="230"/>
      <c r="B163" s="164"/>
      <c r="C163" s="230"/>
      <c r="D163" s="169"/>
      <c r="E163" s="165"/>
      <c r="F163" s="165"/>
      <c r="G163" s="165"/>
      <c r="H163" s="165"/>
      <c r="I163" s="166"/>
      <c r="J163" s="167"/>
      <c r="K163" s="166"/>
      <c r="L163" s="166"/>
      <c r="M163" s="167"/>
      <c r="N163" s="166"/>
      <c r="O163" s="166"/>
      <c r="P163" s="166"/>
      <c r="Q163" s="167"/>
      <c r="R163" s="167"/>
      <c r="S163" s="222" t="str">
        <f>IF(ISBLANK(A163),"",IF(ISNA(VLOOKUP(I163,Veg_Parameters!$A$3:$N$65,3,FALSE)),0,(VLOOKUP(I163,Veg_Parameters!$A$3:$N$65,3,FALSE))))</f>
        <v/>
      </c>
      <c r="T163" s="222" t="str">
        <f>IF(ISBLANK(N163),"",IF(ISNA(VLOOKUP(N163,Veg_Parameters!$A$3:$N$65,3,FALSE)),0,(VLOOKUP(N163,Veg_Parameters!$A$3:$N$65,3,FALSE))))</f>
        <v/>
      </c>
      <c r="U163" s="523">
        <f>IF(ISBLANK(A163),0,0.092903*D163)</f>
        <v>0</v>
      </c>
      <c r="V163" s="523">
        <f t="shared" ref="V163:V187" si="237">IF(ISBLANK(A163),0, IF(F163="H", 5, IF(F163="M", 3, IF(F163="L", 1.5, 0))))</f>
        <v>0</v>
      </c>
      <c r="W163" s="524">
        <f>IF(ISBLANK(A163),0,IF(ISNA(VLOOKUP($I163,Veg_Parameters!$A$3:$N$65,10,FALSE)),0,(VLOOKUP($I163,Veg_Parameters!$A$3:$N$65,10,FALSE))))</f>
        <v>0</v>
      </c>
      <c r="X163" s="524">
        <f>IF(ISBLANK(A163),0,IF(ISNA(VLOOKUP($I163,Veg_Parameters!$A$3:$N$65,11,FALSE)),0,(VLOOKUP($I163,Veg_Parameters!$A$3:$N$65,11,FALSE))))</f>
        <v>0</v>
      </c>
      <c r="Y163" s="524">
        <f>IF(ISBLANK(A163),0,IF(ISNA(VLOOKUP($I163,Veg_Parameters!$A$3:$N$65,12,FALSE)),0,(VLOOKUP($I163,Veg_Parameters!$A$3:$N$65,12,FALSE))))</f>
        <v>0</v>
      </c>
      <c r="Z163" s="525">
        <f t="shared" ref="Z163:Z187" si="238">IF($E163="C",$W163,IF($E163="F",$X163,IF($E163="M",1,0)))</f>
        <v>0</v>
      </c>
      <c r="AA163" s="525">
        <f t="shared" ref="AA163:AA187" si="239">IF(ISBLANK(E163), 0, IF($O$9="L", $Y163, IF($O$9 = "H", 1, IF($O$9="M", 0.8, " "))))</f>
        <v>0</v>
      </c>
      <c r="AB163" s="525">
        <f t="shared" ref="AB163:AB187" si="240">IF(I163&gt;0, Z163*AA163, 0)</f>
        <v>0</v>
      </c>
      <c r="AC163" s="524">
        <f>IF(ISBLANK(N163),0,IF(ISNA(VLOOKUP($N163,Veg_Parameters!$A$3:$N$65,10,FALSE)),0,(VLOOKUP($N163,Veg_Parameters!$A$3:$N$65,10,FALSE))))</f>
        <v>0</v>
      </c>
      <c r="AD163" s="524">
        <f>IF(ISBLANK(N163),0,IF(ISNA(VLOOKUP($N163,Veg_Parameters!$A$3:$N$65,11,FALSE)),0,(VLOOKUP($N163,Veg_Parameters!$A$3:$N$65,11,FALSE))))</f>
        <v>0</v>
      </c>
      <c r="AE163" s="524">
        <f>IF(ISBLANK(N163), 0, IF(ISNA(VLOOKUP($N163,Veg_Parameters!$A$3:$N$65,12,FALSE)),0,(VLOOKUP($N163,Veg_Parameters!$A$3:$N$65,12,FALSE))))</f>
        <v>0</v>
      </c>
      <c r="AF163" s="523">
        <f t="shared" ref="AF163:AF187" si="241">IF(N163="", 0,IF($E163="C",W163,IF($E163="F",X163,IF($E163="M",1," "))))</f>
        <v>0</v>
      </c>
      <c r="AG163" s="523">
        <f t="shared" ref="AG163:AG187" si="242">IF(N163="", 0,IF($O$9="L", $AE163, IF($O$9 = "H", 1, IF($O$9="M", 0.8, ""))))</f>
        <v>0</v>
      </c>
      <c r="AH163" s="523">
        <f t="shared" ref="AH163:AH187" si="243">IF(N163&gt;0, AF163*AG163, 0)</f>
        <v>0</v>
      </c>
      <c r="AI163" s="526"/>
      <c r="AJ163" s="527">
        <f>AB163*(IF(ISNA(VLOOKUP($I163,Veg_Parameters!$A$3:$N$65,5,FALSE)),0,(VLOOKUP($I163,Veg_Parameters!$A$3:$N$65,5,FALSE))))</f>
        <v>0</v>
      </c>
      <c r="AK163" s="527">
        <f>IF(ISNA(VLOOKUP($I163,Veg_Parameters!$A$3:$N$65,4,FALSE)),0,(VLOOKUP($I163,Veg_Parameters!$A$3:$N$65,4,FALSE)))</f>
        <v>0</v>
      </c>
      <c r="AL163" s="527">
        <f>AB163*(IF(ISNA(VLOOKUP($I163,Veg_Parameters!$A$3:$N$65,7,FALSE)),0, (VLOOKUP($I163,Veg_Parameters!$A$3:$N$65,7,FALSE))))</f>
        <v>0</v>
      </c>
      <c r="AM163" s="528">
        <f>IF(ISNA(VLOOKUP($I163,Veg_Parameters!$A$3:$N$65,6,FALSE)), 0, (VLOOKUP($I163,Veg_Parameters!$A$3:$N$65,6,FALSE)))</f>
        <v>0</v>
      </c>
      <c r="AN163" s="529">
        <f t="shared" ref="AN163:AN187" si="244">IF($O$7=1,J163+$O$8,J163)</f>
        <v>20</v>
      </c>
      <c r="AO163" s="529">
        <f t="shared" ref="AO163:AO187" si="245">IF(AJ163&gt;0, AK163*(1-EXP(-AJ163*AN163/AK163)), 0)</f>
        <v>0</v>
      </c>
      <c r="AP163" s="529">
        <f t="shared" ref="AP163:AP187" si="246">IF(K163&gt;0, K163*0.3048, AO163)</f>
        <v>0</v>
      </c>
      <c r="AQ163" s="530">
        <f>IF(AL163&gt;0, AM163*(1-EXP(-AL163*AN163/AM163)), 0)</f>
        <v>0</v>
      </c>
      <c r="AR163" s="527" t="s">
        <v>3</v>
      </c>
      <c r="AS163" s="527">
        <f>IF(ISNA(VLOOKUP($I163,Veg_Parameters!$A$3:$N$65,8,FALSE)), 0, (VLOOKUP($I163,Veg_Parameters!$A$3:$N$65,8,FALSE)))</f>
        <v>0</v>
      </c>
      <c r="AT163" s="527">
        <f>AB163*(IF(ISNA(VLOOKUP($I163,Veg_Parameters!$A$3:$N$65,9,FALSE)), 0, (VLOOKUP($I163,Veg_Parameters!$A$3:$N$65,9,FALSE))))</f>
        <v>0</v>
      </c>
      <c r="AU163" s="527">
        <f>IF(ISBLANK(A163),0,VLOOKUP($I163,Veg_Parameters!$A$4:$U$65,21,))</f>
        <v>0</v>
      </c>
      <c r="AV163" s="527">
        <f>IF(OR(I163=3500,I163=3600),U163,0)</f>
        <v>0</v>
      </c>
      <c r="AW163" s="529">
        <f>IF(AT163&gt;0, AS163*(1-EXP(-AT163*AN163/AS163)),0)</f>
        <v>0</v>
      </c>
      <c r="AX163" s="529">
        <f>PI()*(0.5*AW163)^2</f>
        <v>0</v>
      </c>
      <c r="AY163" s="529">
        <f t="shared" ref="AY163:AY187" si="247">IF(AX163*L163*($D163/1000)&lt;$U163, AX163*L163*($D163/1000), $U163)</f>
        <v>0</v>
      </c>
      <c r="AZ163" s="529">
        <f>+IF(AP163&gt;4.6,AY163,0)</f>
        <v>0</v>
      </c>
      <c r="BA163" s="529">
        <f>IF(AND(AP163&gt;0.9,AP163&lt;4.6),AY163,IF(AP163&gt;4.6,0.5*AY163,0))</f>
        <v>0</v>
      </c>
      <c r="BB163" s="529">
        <f>IF(AND(AP163&gt;0,AP163&lt;0.9),AY163,IF(AND(AP163&gt;0.9,AP163&lt;4.6),AY163*0.5,IF(AP163&gt;4.6,AY163*0.25,0)))</f>
        <v>0</v>
      </c>
      <c r="BC163" s="529">
        <f t="shared" ref="BC163:BC187" si="248">IF(ISBLANK(A163),0,(AY163*AU163))</f>
        <v>0</v>
      </c>
      <c r="BD163" s="531"/>
      <c r="BE163" s="527">
        <f>AH163*(IF(ISNA(VLOOKUP($N163,Veg_Parameters!$A$3:$N$65,5,FALSE)),0,(VLOOKUP($N163,Veg_Parameters!$A$3:$N$65,5,FALSE))))</f>
        <v>0</v>
      </c>
      <c r="BF163" s="527">
        <f>IF(ISNA(VLOOKUP($N163,Veg_Parameters!$A$3:$N$65,4,FALSE)),0,(VLOOKUP($N163,Veg_Parameters!$A$3:$N$65,4,FALSE)))</f>
        <v>0</v>
      </c>
      <c r="BG163" s="527">
        <f>AH163*(IF(ISNA(VLOOKUP($N163,Veg_Parameters!$A$3:$N$65,7,FALSE)),0, (VLOOKUP($N163,Veg_Parameters!$A$3:$N$65,7,FALSE))))</f>
        <v>0</v>
      </c>
      <c r="BH163" s="527">
        <f>IF(ISNA(VLOOKUP($N163,Veg_Parameters!$A$3:$N$65,6,FALSE)), 0, (VLOOKUP($N163,Veg_Parameters!$A$3:$N$65,6,FALSE)))</f>
        <v>0</v>
      </c>
      <c r="BI163" s="529">
        <f t="shared" ref="BI163:BI187" si="249">IF($O$7=1,O163+$O$8,O163)</f>
        <v>20</v>
      </c>
      <c r="BJ163" s="529">
        <f>IF(BE163&gt;0, BF163*(1-EXP(-BE163*BI163/BF163)), 0)</f>
        <v>0</v>
      </c>
      <c r="BK163" s="529">
        <f t="shared" ref="BK163:BK187" si="250">IF(P163&gt;0, P163*0.3048, BJ163)</f>
        <v>0</v>
      </c>
      <c r="BL163" s="530">
        <f>IF(BG163&gt;0, BH163*(1-EXP(-BG163*BI163/BH163)), 0)</f>
        <v>0</v>
      </c>
      <c r="BM163" s="527" t="s">
        <v>3</v>
      </c>
      <c r="BN163" s="527">
        <f>IF(ISNA(VLOOKUP(N163,Veg_Parameters!$A$3:$N$65,8,FALSE)), 0, (VLOOKUP($N163,Veg_Parameters!$A$3:$N$65,8,FALSE)))</f>
        <v>0</v>
      </c>
      <c r="BO163" s="527">
        <f>AH163*(IF(ISNA(VLOOKUP($N163,Veg_Parameters!$A$3:$N$65,9,FALSE)), 0, (VLOOKUP($N163,Veg_Parameters!$A$3:$N$65,9,FALSE))))</f>
        <v>0</v>
      </c>
      <c r="BP163" s="527" t="str">
        <f>IF(ISBLANK(N163),"0",VLOOKUP($N163,Veg_Parameters!$A$4:$U$65,21,))</f>
        <v>0</v>
      </c>
      <c r="BQ163" s="529">
        <f>IF(BO163&gt;0, BN163*(1-EXP(-BO163*BI163/BN163)),0)</f>
        <v>0</v>
      </c>
      <c r="BR163" s="529">
        <f>PI()*(0.5*BQ163)^2</f>
        <v>0</v>
      </c>
      <c r="BS163" s="529">
        <f t="shared" ref="BS163:BS187" si="251">IF(BR163*Q163*($D163/1000)&lt;$U163, BR163*Q163*($D163/1000), $U163)</f>
        <v>0</v>
      </c>
      <c r="BT163" s="529">
        <f>+IF(BK163&gt;4.6,BS163,0)</f>
        <v>0</v>
      </c>
      <c r="BU163" s="529">
        <f>IF(AND(BK163&lt;4.6,BK163&gt;0.9),BS163,IF(BK163&gt;4.6,(0.5*BS163),0))</f>
        <v>0</v>
      </c>
      <c r="BV163" s="529">
        <f>IF(AND(BK163&gt;0,BK163&lt;0.9),BS163,IF(AND(BK163&gt;0.9,BK163&lt;4.6),BS163*0.5,IF(BK163&gt;4.6,(BS163*0.25),0)))</f>
        <v>0</v>
      </c>
      <c r="BW163" s="532" t="str">
        <f t="shared" ref="BW163:BW187" si="252">IF(AP163&gt;4.57,I163,"")</f>
        <v/>
      </c>
      <c r="BX163" s="532" t="str">
        <f t="shared" ref="BX163:BX187" si="253">IF(BK163&gt;4.57,N163,"")</f>
        <v/>
      </c>
      <c r="BY163" s="532" t="str">
        <f t="shared" ref="BY163:BY187" si="254">IF((AND(AP163&gt;0.76,AP163&lt;4.6)),I163,"")</f>
        <v/>
      </c>
      <c r="BZ163" s="532" t="str">
        <f t="shared" ref="BZ163:BZ187" si="255">IF((AND(BK163&gt;0.76,BK163&lt;4.6)),N163,"")</f>
        <v/>
      </c>
      <c r="CA163" s="532">
        <f t="shared" ref="CA163:CA187" si="256">IF(ISBLANK(N163),0,(BS163*BP163))</f>
        <v>0</v>
      </c>
      <c r="CB163" s="533"/>
      <c r="CC163" s="624">
        <f t="shared" ref="CC163:CC187" si="257">IF(ISERROR(IF((AY163+BS163)&lt;$U163,(AY163*AQ163+BS163*BL163),(((AQ163*AY163+BL163*BS163)/(AY163+BS163))*$U163))),0,IF((AY163+BS163)&lt;$U163,(AY163*AQ163+BS163*BL163),(((AQ163*AY163+BL163*BS163)/(AY163+BS163))*$U163)))</f>
        <v>0</v>
      </c>
      <c r="CD163" s="534">
        <f t="shared" ref="CD163:CD187" si="258">IF(ISERROR(IF((AZ163+BT163)&lt;$U163,(AQ163*AZ163+BT163*BL163),(((AQ163*AZ163+BL163*BT163)/(AZ163+BT163))*$U163))),0,IF((AZ163+BT163)&lt;$U163,(AQ163*AZ163+BT163*BL163),(((AQ163*AZ163+BL163*BT163)/(AZ163+BT163))*$U163)))</f>
        <v>0</v>
      </c>
      <c r="CE163" s="534">
        <f t="shared" ref="CE163:CE187" si="259">IF(ISERROR(IF((BA163+BU163)&lt;$U163,(AQ163*BA163+BL163*BU163),(((AQ163*BA163+BL163*BU163)/(BA163+BU163))*$U163))),0,IF((BA163+BU163)&lt;$U163,(AQ163*BA163+BL163*BU163),(((AQ163*BA163+BL163*BU163)/(BA163+BU163))*$U163)))</f>
        <v>0</v>
      </c>
      <c r="CF163" s="534">
        <f t="shared" ref="CF163:CF187" si="260">+IF(ISBLANK(A163),0,IF((BB163+BV163+(G163/100)*U163)&gt;U163,U163,(BB163+BV163+(G163/100)*U163)))</f>
        <v>0</v>
      </c>
      <c r="CG163" s="534"/>
      <c r="CH163" s="534"/>
      <c r="CI163" s="534">
        <f>BC163+CA163</f>
        <v>0</v>
      </c>
      <c r="CL163" s="534">
        <f>IF(ISNA(VLOOKUP(I163,Veg_Parameters!$A$3:$N$65,13,FALSE)),0,(VLOOKUP(I163,Veg_Parameters!$A$3:$N$65,13,FALSE)))</f>
        <v>0</v>
      </c>
      <c r="CM163" s="534">
        <f>+IF(ISBLANK(A163),0,IF(CL163="H",BB163,0))</f>
        <v>0</v>
      </c>
      <c r="CN163" s="534">
        <f>IF(ISNA(VLOOKUP(N163,Veg_Parameters!$A$3:$N$65,13,FALSE)),0,(VLOOKUP(N163,Veg_Parameters!$A$3:$N$65,13,FALSE)))</f>
        <v>0</v>
      </c>
      <c r="CO163" s="523">
        <f>+IF(ISBLANK(A163),0, IF(CN163="H", BV163, 0))</f>
        <v>0</v>
      </c>
    </row>
    <row r="164" spans="1:93" x14ac:dyDescent="0.2">
      <c r="A164" s="230"/>
      <c r="B164" s="171" t="str">
        <f>IF(ISBLANK(A164),"",$B$163)</f>
        <v/>
      </c>
      <c r="C164" s="230"/>
      <c r="D164" s="169"/>
      <c r="E164" s="165"/>
      <c r="F164" s="165"/>
      <c r="G164" s="165"/>
      <c r="H164" s="165"/>
      <c r="I164" s="166"/>
      <c r="J164" s="167"/>
      <c r="K164" s="166"/>
      <c r="L164" s="166"/>
      <c r="M164" s="167"/>
      <c r="N164" s="166"/>
      <c r="O164" s="166"/>
      <c r="P164" s="167"/>
      <c r="Q164" s="167"/>
      <c r="R164" s="167"/>
      <c r="S164" s="222" t="str">
        <f>IF(ISBLANK(A164),"",IF(ISNA(VLOOKUP(I164,Veg_Parameters!$A$3:$N$65,3,FALSE)),0,(VLOOKUP(I164,Veg_Parameters!$A$3:$N$65,3,FALSE))))</f>
        <v/>
      </c>
      <c r="T164" s="222" t="str">
        <f>IF(ISBLANK(N164),"",IF(ISNA(VLOOKUP(N164,Veg_Parameters!$A$3:$N$65,3,FALSE)),0,(VLOOKUP(N164,Veg_Parameters!$A$3:$N$65,3,FALSE))))</f>
        <v/>
      </c>
      <c r="U164" s="523">
        <f t="shared" ref="U164:U187" si="261">IF(ISBLANK(A164),0,0.092903*D164)</f>
        <v>0</v>
      </c>
      <c r="V164" s="523">
        <f t="shared" si="237"/>
        <v>0</v>
      </c>
      <c r="W164" s="524">
        <f>IF(ISBLANK(A164),0,IF(ISNA(VLOOKUP($I164,Veg_Parameters!$A$3:$N$65,10,FALSE)),0,(VLOOKUP($I164,Veg_Parameters!$A$3:$N$65,10,FALSE))))</f>
        <v>0</v>
      </c>
      <c r="X164" s="524">
        <f>IF(ISBLANK(A164),0,IF(ISNA(VLOOKUP($I164,Veg_Parameters!$A$3:$N$65,11,FALSE)),0,(VLOOKUP($I164,Veg_Parameters!$A$3:$N$65,11,FALSE))))</f>
        <v>0</v>
      </c>
      <c r="Y164" s="524">
        <f>IF(ISBLANK(A164),0,IF(ISNA(VLOOKUP($I164,Veg_Parameters!$A$3:$N$65,12,FALSE)),0,(VLOOKUP($I164,Veg_Parameters!$A$3:$N$65,12,FALSE))))</f>
        <v>0</v>
      </c>
      <c r="Z164" s="525">
        <f t="shared" si="238"/>
        <v>0</v>
      </c>
      <c r="AA164" s="525">
        <f t="shared" si="239"/>
        <v>0</v>
      </c>
      <c r="AB164" s="525">
        <f t="shared" si="240"/>
        <v>0</v>
      </c>
      <c r="AC164" s="524">
        <f>IF(ISBLANK(N164),0,IF(ISNA(VLOOKUP($N164,Veg_Parameters!$A$3:$N$65,10,FALSE)),0,(VLOOKUP($N164,Veg_Parameters!$A$3:$N$65,10,FALSE))))</f>
        <v>0</v>
      </c>
      <c r="AD164" s="524">
        <f>IF(ISBLANK(N164),0,IF(ISNA(VLOOKUP($N164,Veg_Parameters!$A$3:$N$65,11,FALSE)),0,(VLOOKUP($N164,Veg_Parameters!$A$3:$N$65,11,FALSE))))</f>
        <v>0</v>
      </c>
      <c r="AE164" s="524">
        <f>IF(ISBLANK(N164), 0, IF(ISNA(VLOOKUP($N164,Veg_Parameters!$A$3:$N$65,12,FALSE)),0,(VLOOKUP($N164,Veg_Parameters!$A$3:$N$65,12,FALSE))))</f>
        <v>0</v>
      </c>
      <c r="AF164" s="523">
        <f t="shared" si="241"/>
        <v>0</v>
      </c>
      <c r="AG164" s="523">
        <f t="shared" si="242"/>
        <v>0</v>
      </c>
      <c r="AH164" s="523">
        <f t="shared" si="243"/>
        <v>0</v>
      </c>
      <c r="AI164" s="526"/>
      <c r="AJ164" s="527">
        <f>AB164*(IF(ISNA(VLOOKUP($I164,Veg_Parameters!$A$3:$N$65,5,FALSE)),0,(VLOOKUP($I164,Veg_Parameters!$A$3:$N$65,5,FALSE))))</f>
        <v>0</v>
      </c>
      <c r="AK164" s="527">
        <f>IF(ISNA(VLOOKUP($I164,Veg_Parameters!$A$3:$N$65,4,FALSE)),0,(VLOOKUP($I164,Veg_Parameters!$A$3:$N$65,4,FALSE)))</f>
        <v>0</v>
      </c>
      <c r="AL164" s="527">
        <f>AB164*(IF(ISNA(VLOOKUP($I164,Veg_Parameters!$A$3:$N$65,7,FALSE)),0, (VLOOKUP($I164,Veg_Parameters!$A$3:$N$65,7,FALSE))))</f>
        <v>0</v>
      </c>
      <c r="AM164" s="528">
        <f>IF(ISNA(VLOOKUP($I164,Veg_Parameters!$A$3:$N$65,6,FALSE)), 0, (VLOOKUP($I164,Veg_Parameters!$A$3:$N$65,6,FALSE)))</f>
        <v>0</v>
      </c>
      <c r="AN164" s="529">
        <f t="shared" si="244"/>
        <v>20</v>
      </c>
      <c r="AO164" s="529">
        <f t="shared" si="245"/>
        <v>0</v>
      </c>
      <c r="AP164" s="529">
        <f t="shared" si="246"/>
        <v>0</v>
      </c>
      <c r="AQ164" s="530">
        <f t="shared" ref="AQ164:AQ187" si="262">IF(AL164&gt;0, AM164*(1-EXP(-AL164*AN164/AM164)), 0)</f>
        <v>0</v>
      </c>
      <c r="AR164" s="527" t="s">
        <v>3</v>
      </c>
      <c r="AS164" s="527">
        <f>IF(ISNA(VLOOKUP($I164,Veg_Parameters!$A$3:$N$65,8,FALSE)), 0, (VLOOKUP($I164,Veg_Parameters!$A$3:$N$65,8,FALSE)))</f>
        <v>0</v>
      </c>
      <c r="AT164" s="527">
        <f>AB164*(IF(ISNA(VLOOKUP($I164,Veg_Parameters!$A$3:$N$65,9,FALSE)), 0, (VLOOKUP($I164,Veg_Parameters!$A$3:$N$65,9,FALSE))))</f>
        <v>0</v>
      </c>
      <c r="AU164" s="527">
        <f>IF(ISBLANK(A164),0,VLOOKUP($I164,Veg_Parameters!$A$4:$U$65,21,))</f>
        <v>0</v>
      </c>
      <c r="AV164" s="527">
        <f t="shared" ref="AV164:AV187" si="263">IF(OR(I164=3500,I164=3600),U164,0)</f>
        <v>0</v>
      </c>
      <c r="AW164" s="529">
        <f t="shared" ref="AW164:AW187" si="264">IF(AT164&gt;0, AS164*(1-EXP(-AT164*AN164/AS164)),0)</f>
        <v>0</v>
      </c>
      <c r="AX164" s="529">
        <f t="shared" ref="AX164:AX187" si="265">PI()*(0.5*AW164)^2</f>
        <v>0</v>
      </c>
      <c r="AY164" s="529">
        <f t="shared" si="247"/>
        <v>0</v>
      </c>
      <c r="AZ164" s="529">
        <f t="shared" ref="AZ164:AZ187" si="266">+IF(AP164&gt;4.6,AY164,0)</f>
        <v>0</v>
      </c>
      <c r="BA164" s="529">
        <f t="shared" ref="BA164:BA187" si="267">IF(AND(AP164&gt;0.9,AP164&lt;4.6),AY164,IF(AP164&gt;4.6,0.5*AY164,0))</f>
        <v>0</v>
      </c>
      <c r="BB164" s="529">
        <f t="shared" ref="BB164:BB187" si="268">IF(AND(AP164&gt;0,AP164&lt;0.9),AY164,IF(AND(AP164&gt;0.9,AP164&lt;4.6),AY164*0.5,IF(AP164&gt;4.6,AY164*0.25,0)))</f>
        <v>0</v>
      </c>
      <c r="BC164" s="529">
        <f t="shared" si="248"/>
        <v>0</v>
      </c>
      <c r="BD164" s="531"/>
      <c r="BE164" s="527">
        <f>AH164*(IF(ISNA(VLOOKUP($N164,Veg_Parameters!$A$3:$N$65,5,FALSE)),0,(VLOOKUP($N164,Veg_Parameters!$A$3:$N$65,5,FALSE))))</f>
        <v>0</v>
      </c>
      <c r="BF164" s="527">
        <f>IF(ISNA(VLOOKUP($N164,Veg_Parameters!$A$3:$N$65,4,FALSE)),0,(VLOOKUP($N164,Veg_Parameters!$A$3:$N$65,4,FALSE)))</f>
        <v>0</v>
      </c>
      <c r="BG164" s="527">
        <f>AH164*(IF(ISNA(VLOOKUP($N164,Veg_Parameters!$A$3:$N$65,7,FALSE)),0, (VLOOKUP($N164,Veg_Parameters!$A$3:$N$65,7,FALSE))))</f>
        <v>0</v>
      </c>
      <c r="BH164" s="527">
        <f>IF(ISNA(VLOOKUP($N164,Veg_Parameters!$A$3:$N$65,6,FALSE)), 0, (VLOOKUP($N164,Veg_Parameters!$A$3:$N$65,6,FALSE)))</f>
        <v>0</v>
      </c>
      <c r="BI164" s="529">
        <f t="shared" si="249"/>
        <v>20</v>
      </c>
      <c r="BJ164" s="529">
        <f t="shared" ref="BJ164:BJ187" si="269">IF(BE164&gt;0, BF164*(1-EXP(-BE164*BI164/BF164)), 0)</f>
        <v>0</v>
      </c>
      <c r="BK164" s="529">
        <f t="shared" si="250"/>
        <v>0</v>
      </c>
      <c r="BL164" s="530">
        <f t="shared" ref="BL164:BL187" si="270">IF(BG164&gt;0, BH164*(1-EXP(-BG164*BI164/BH164)), 0)</f>
        <v>0</v>
      </c>
      <c r="BM164" s="527" t="s">
        <v>3</v>
      </c>
      <c r="BN164" s="527">
        <f>IF(ISNA(VLOOKUP(N164,Veg_Parameters!$A$3:$N$65,8,FALSE)), 0, (VLOOKUP($N164,Veg_Parameters!$A$3:$N$65,8,FALSE)))</f>
        <v>0</v>
      </c>
      <c r="BO164" s="527">
        <f>AH164*(IF(ISNA(VLOOKUP($N164,Veg_Parameters!$A$3:$N$65,9,FALSE)), 0, (VLOOKUP($N164,Veg_Parameters!$A$3:$N$65,9,FALSE))))</f>
        <v>0</v>
      </c>
      <c r="BP164" s="527" t="str">
        <f>IF(ISBLANK(N164),"0",VLOOKUP($N164,Veg_Parameters!$A$4:$U$65,21,))</f>
        <v>0</v>
      </c>
      <c r="BQ164" s="529">
        <f t="shared" ref="BQ164:BQ187" si="271">IF(BO164&gt;0, BN164*(1-EXP(-BO164*BI164/BN164)),0)</f>
        <v>0</v>
      </c>
      <c r="BR164" s="529">
        <f t="shared" ref="BR164:BR187" si="272">PI()*(0.5*BQ164)^2</f>
        <v>0</v>
      </c>
      <c r="BS164" s="529">
        <f t="shared" si="251"/>
        <v>0</v>
      </c>
      <c r="BT164" s="529">
        <f t="shared" ref="BT164:BT187" si="273">+IF(BK164&gt;4.6,BS164,0)</f>
        <v>0</v>
      </c>
      <c r="BU164" s="529">
        <f t="shared" ref="BU164:BU187" si="274">IF(AND(BK164&lt;4.6,BK164&gt;0.9),BS164,IF(BK164&gt;4.6,(0.5*BS164),0))</f>
        <v>0</v>
      </c>
      <c r="BV164" s="529">
        <f t="shared" ref="BV164:BV187" si="275">IF(AND(BK164&gt;0,BK164&lt;0.9),BS164,IF(AND(BK164&gt;0.9,BK164&lt;4.6),BS164*0.5,IF(BK164&gt;4.6,(BS164*0.25),0)))</f>
        <v>0</v>
      </c>
      <c r="BW164" s="532" t="str">
        <f t="shared" si="252"/>
        <v/>
      </c>
      <c r="BX164" s="532" t="str">
        <f t="shared" si="253"/>
        <v/>
      </c>
      <c r="BY164" s="532" t="str">
        <f t="shared" si="254"/>
        <v/>
      </c>
      <c r="BZ164" s="532" t="str">
        <f t="shared" si="255"/>
        <v/>
      </c>
      <c r="CA164" s="532">
        <f t="shared" si="256"/>
        <v>0</v>
      </c>
      <c r="CB164" s="533"/>
      <c r="CC164" s="624">
        <f t="shared" si="257"/>
        <v>0</v>
      </c>
      <c r="CD164" s="534">
        <f t="shared" si="258"/>
        <v>0</v>
      </c>
      <c r="CE164" s="534">
        <f t="shared" si="259"/>
        <v>0</v>
      </c>
      <c r="CF164" s="534">
        <f t="shared" si="260"/>
        <v>0</v>
      </c>
      <c r="CG164" s="534"/>
      <c r="CH164" s="534"/>
      <c r="CI164" s="534">
        <f t="shared" ref="CI164:CI187" si="276">BC164+CA164</f>
        <v>0</v>
      </c>
      <c r="CL164" s="534">
        <f>IF(ISNA(VLOOKUP(I164,Veg_Parameters!$A$3:$N$65,13,FALSE)),0,(VLOOKUP(I164,Veg_Parameters!$A$3:$N$65,13,FALSE)))</f>
        <v>0</v>
      </c>
      <c r="CM164" s="534">
        <f t="shared" ref="CM164:CM187" si="277">+IF(ISBLANK(A164),0,IF(CL164="H",BB164,0))</f>
        <v>0</v>
      </c>
      <c r="CN164" s="534">
        <f>IF(ISNA(VLOOKUP(N164,Veg_Parameters!$A$3:$N$65,13,FALSE)),0,(VLOOKUP(N164,Veg_Parameters!$A$3:$N$65,13,FALSE)))</f>
        <v>0</v>
      </c>
      <c r="CO164" s="523">
        <f t="shared" ref="CO164:CO187" si="278">+IF(ISBLANK(A164),0, IF(CN164="H", BV164, 0))</f>
        <v>0</v>
      </c>
    </row>
    <row r="165" spans="1:93" x14ac:dyDescent="0.2">
      <c r="A165" s="230"/>
      <c r="B165" s="171" t="str">
        <f t="shared" ref="B165:B186" si="279">IF(ISBLANK(A165),"",$B$163)</f>
        <v/>
      </c>
      <c r="C165" s="230"/>
      <c r="D165" s="169"/>
      <c r="E165" s="165"/>
      <c r="F165" s="165"/>
      <c r="G165" s="165"/>
      <c r="H165" s="165"/>
      <c r="I165" s="168"/>
      <c r="J165" s="167"/>
      <c r="K165" s="166"/>
      <c r="L165" s="166"/>
      <c r="M165" s="167"/>
      <c r="N165" s="168"/>
      <c r="O165" s="168"/>
      <c r="P165" s="167"/>
      <c r="Q165" s="167"/>
      <c r="R165" s="167"/>
      <c r="S165" s="222" t="str">
        <f>IF(ISBLANK(A165),"",IF(ISNA(VLOOKUP(I165,Veg_Parameters!$A$3:$N$65,3,FALSE)),0,(VLOOKUP(I165,Veg_Parameters!$A$3:$N$65,3,FALSE))))</f>
        <v/>
      </c>
      <c r="T165" s="222" t="str">
        <f>IF(ISBLANK(N165),"",IF(ISNA(VLOOKUP(N165,Veg_Parameters!$A$3:$N$65,3,FALSE)),0,(VLOOKUP(N165,Veg_Parameters!$A$3:$N$65,3,FALSE))))</f>
        <v/>
      </c>
      <c r="U165" s="523">
        <f t="shared" si="261"/>
        <v>0</v>
      </c>
      <c r="V165" s="523">
        <f t="shared" si="237"/>
        <v>0</v>
      </c>
      <c r="W165" s="524">
        <f>IF(ISBLANK(A165),0,IF(ISNA(VLOOKUP($I165,Veg_Parameters!$A$3:$N$65,10,FALSE)),0,(VLOOKUP($I165,Veg_Parameters!$A$3:$N$65,10,FALSE))))</f>
        <v>0</v>
      </c>
      <c r="X165" s="524">
        <f>IF(ISBLANK(A165),0,IF(ISNA(VLOOKUP($I165,Veg_Parameters!$A$3:$N$65,11,FALSE)),0,(VLOOKUP($I165,Veg_Parameters!$A$3:$N$65,11,FALSE))))</f>
        <v>0</v>
      </c>
      <c r="Y165" s="524">
        <f>IF(ISBLANK(A165),0,IF(ISNA(VLOOKUP($I165,Veg_Parameters!$A$3:$N$65,12,FALSE)),0,(VLOOKUP($I165,Veg_Parameters!$A$3:$N$65,12,FALSE))))</f>
        <v>0</v>
      </c>
      <c r="Z165" s="525">
        <f t="shared" si="238"/>
        <v>0</v>
      </c>
      <c r="AA165" s="525">
        <f t="shared" si="239"/>
        <v>0</v>
      </c>
      <c r="AB165" s="525">
        <f t="shared" si="240"/>
        <v>0</v>
      </c>
      <c r="AC165" s="524">
        <f>IF(ISBLANK(N165),0,IF(ISNA(VLOOKUP($N165,Veg_Parameters!$A$3:$N$65,10,FALSE)),0,(VLOOKUP($N165,Veg_Parameters!$A$3:$N$65,10,FALSE))))</f>
        <v>0</v>
      </c>
      <c r="AD165" s="524">
        <f>IF(ISBLANK(N165),0,IF(ISNA(VLOOKUP($N165,Veg_Parameters!$A$3:$N$65,11,FALSE)),0,(VLOOKUP($N165,Veg_Parameters!$A$3:$N$65,11,FALSE))))</f>
        <v>0</v>
      </c>
      <c r="AE165" s="524">
        <f>IF(ISBLANK(N165), 0, IF(ISNA(VLOOKUP($N165,Veg_Parameters!$A$3:$N$65,12,FALSE)),0,(VLOOKUP($N165,Veg_Parameters!$A$3:$N$65,12,FALSE))))</f>
        <v>0</v>
      </c>
      <c r="AF165" s="523">
        <f t="shared" si="241"/>
        <v>0</v>
      </c>
      <c r="AG165" s="523">
        <f t="shared" si="242"/>
        <v>0</v>
      </c>
      <c r="AH165" s="523">
        <f t="shared" si="243"/>
        <v>0</v>
      </c>
      <c r="AI165" s="526"/>
      <c r="AJ165" s="527">
        <f>AB165*(IF(ISNA(VLOOKUP($I165,Veg_Parameters!$A$3:$N$65,5,FALSE)),0,(VLOOKUP($I165,Veg_Parameters!$A$3:$N$65,5,FALSE))))</f>
        <v>0</v>
      </c>
      <c r="AK165" s="527">
        <f>IF(ISNA(VLOOKUP($I165,Veg_Parameters!$A$3:$N$65,4,FALSE)),0,(VLOOKUP($I165,Veg_Parameters!$A$3:$N$65,4,FALSE)))</f>
        <v>0</v>
      </c>
      <c r="AL165" s="527">
        <f>AB165*(IF(ISNA(VLOOKUP($I165,Veg_Parameters!$A$3:$N$65,7,FALSE)),0, (VLOOKUP($I165,Veg_Parameters!$A$3:$N$65,7,FALSE))))</f>
        <v>0</v>
      </c>
      <c r="AM165" s="528">
        <f>IF(ISNA(VLOOKUP($I165,Veg_Parameters!$A$3:$N$65,6,FALSE)), 0, (VLOOKUP($I165,Veg_Parameters!$A$3:$N$65,6,FALSE)))</f>
        <v>0</v>
      </c>
      <c r="AN165" s="529">
        <f t="shared" si="244"/>
        <v>20</v>
      </c>
      <c r="AO165" s="529">
        <f t="shared" si="245"/>
        <v>0</v>
      </c>
      <c r="AP165" s="529">
        <f t="shared" si="246"/>
        <v>0</v>
      </c>
      <c r="AQ165" s="530">
        <f t="shared" si="262"/>
        <v>0</v>
      </c>
      <c r="AR165" s="527" t="s">
        <v>3</v>
      </c>
      <c r="AS165" s="527">
        <f>IF(ISNA(VLOOKUP($I165,Veg_Parameters!$A$3:$N$65,8,FALSE)), 0, (VLOOKUP($I165,Veg_Parameters!$A$3:$N$65,8,FALSE)))</f>
        <v>0</v>
      </c>
      <c r="AT165" s="527">
        <f>AB165*(IF(ISNA(VLOOKUP($I165,Veg_Parameters!$A$3:$N$65,9,FALSE)), 0, (VLOOKUP($I165,Veg_Parameters!$A$3:$N$65,9,FALSE))))</f>
        <v>0</v>
      </c>
      <c r="AU165" s="527">
        <f>IF(ISBLANK(A165),0,VLOOKUP($I165,Veg_Parameters!$A$4:$U$65,21,))</f>
        <v>0</v>
      </c>
      <c r="AV165" s="527">
        <f t="shared" si="263"/>
        <v>0</v>
      </c>
      <c r="AW165" s="529">
        <f t="shared" si="264"/>
        <v>0</v>
      </c>
      <c r="AX165" s="529">
        <f t="shared" si="265"/>
        <v>0</v>
      </c>
      <c r="AY165" s="529">
        <f t="shared" si="247"/>
        <v>0</v>
      </c>
      <c r="AZ165" s="529">
        <f t="shared" si="266"/>
        <v>0</v>
      </c>
      <c r="BA165" s="529">
        <f t="shared" si="267"/>
        <v>0</v>
      </c>
      <c r="BB165" s="529">
        <f t="shared" si="268"/>
        <v>0</v>
      </c>
      <c r="BC165" s="529">
        <f t="shared" si="248"/>
        <v>0</v>
      </c>
      <c r="BD165" s="531"/>
      <c r="BE165" s="527">
        <f>AH165*(IF(ISNA(VLOOKUP($N165,Veg_Parameters!$A$3:$N$65,5,FALSE)),0,(VLOOKUP($N165,Veg_Parameters!$A$3:$N$65,5,FALSE))))</f>
        <v>0</v>
      </c>
      <c r="BF165" s="527">
        <f>IF(ISNA(VLOOKUP($N165,Veg_Parameters!$A$3:$N$65,4,FALSE)),0,(VLOOKUP($N165,Veg_Parameters!$A$3:$N$65,4,FALSE)))</f>
        <v>0</v>
      </c>
      <c r="BG165" s="527">
        <f>AH165*(IF(ISNA(VLOOKUP($N165,Veg_Parameters!$A$3:$N$65,7,FALSE)),0, (VLOOKUP($N165,Veg_Parameters!$A$3:$N$65,7,FALSE))))</f>
        <v>0</v>
      </c>
      <c r="BH165" s="527">
        <f>IF(ISNA(VLOOKUP($N165,Veg_Parameters!$A$3:$N$65,6,FALSE)), 0, (VLOOKUP($N165,Veg_Parameters!$A$3:$N$65,6,FALSE)))</f>
        <v>0</v>
      </c>
      <c r="BI165" s="529">
        <f t="shared" si="249"/>
        <v>20</v>
      </c>
      <c r="BJ165" s="529">
        <f t="shared" si="269"/>
        <v>0</v>
      </c>
      <c r="BK165" s="529">
        <f t="shared" si="250"/>
        <v>0</v>
      </c>
      <c r="BL165" s="530">
        <f t="shared" si="270"/>
        <v>0</v>
      </c>
      <c r="BM165" s="527" t="s">
        <v>3</v>
      </c>
      <c r="BN165" s="527">
        <f>IF(ISNA(VLOOKUP(N165,Veg_Parameters!$A$3:$N$65,8,FALSE)), 0, (VLOOKUP($N165,Veg_Parameters!$A$3:$N$65,8,FALSE)))</f>
        <v>0</v>
      </c>
      <c r="BO165" s="527">
        <f>AH165*(IF(ISNA(VLOOKUP($N165,Veg_Parameters!$A$3:$N$65,9,FALSE)), 0, (VLOOKUP($N165,Veg_Parameters!$A$3:$N$65,9,FALSE))))</f>
        <v>0</v>
      </c>
      <c r="BP165" s="527" t="str">
        <f>IF(ISBLANK(N165),"0",VLOOKUP($N165,Veg_Parameters!$A$4:$U$65,21,))</f>
        <v>0</v>
      </c>
      <c r="BQ165" s="529">
        <f t="shared" si="271"/>
        <v>0</v>
      </c>
      <c r="BR165" s="529">
        <f t="shared" si="272"/>
        <v>0</v>
      </c>
      <c r="BS165" s="529">
        <f t="shared" si="251"/>
        <v>0</v>
      </c>
      <c r="BT165" s="529">
        <f t="shared" si="273"/>
        <v>0</v>
      </c>
      <c r="BU165" s="529">
        <f t="shared" si="274"/>
        <v>0</v>
      </c>
      <c r="BV165" s="529">
        <f t="shared" si="275"/>
        <v>0</v>
      </c>
      <c r="BW165" s="532" t="str">
        <f t="shared" si="252"/>
        <v/>
      </c>
      <c r="BX165" s="532" t="str">
        <f t="shared" si="253"/>
        <v/>
      </c>
      <c r="BY165" s="532" t="str">
        <f t="shared" si="254"/>
        <v/>
      </c>
      <c r="BZ165" s="532" t="str">
        <f t="shared" si="255"/>
        <v/>
      </c>
      <c r="CA165" s="532">
        <f t="shared" si="256"/>
        <v>0</v>
      </c>
      <c r="CB165" s="533"/>
      <c r="CC165" s="624">
        <f t="shared" si="257"/>
        <v>0</v>
      </c>
      <c r="CD165" s="534">
        <f t="shared" si="258"/>
        <v>0</v>
      </c>
      <c r="CE165" s="534">
        <f t="shared" si="259"/>
        <v>0</v>
      </c>
      <c r="CF165" s="534">
        <f t="shared" si="260"/>
        <v>0</v>
      </c>
      <c r="CG165" s="534"/>
      <c r="CH165" s="534"/>
      <c r="CI165" s="534">
        <f t="shared" si="276"/>
        <v>0</v>
      </c>
      <c r="CL165" s="534">
        <f>IF(ISNA(VLOOKUP(I165,Veg_Parameters!$A$3:$N$65,13,FALSE)),0,(VLOOKUP(I165,Veg_Parameters!$A$3:$N$65,13,FALSE)))</f>
        <v>0</v>
      </c>
      <c r="CM165" s="534">
        <f t="shared" si="277"/>
        <v>0</v>
      </c>
      <c r="CN165" s="534">
        <f>IF(ISNA(VLOOKUP(N165,Veg_Parameters!$A$3:$N$65,13,FALSE)),0,(VLOOKUP(N165,Veg_Parameters!$A$3:$N$65,13,FALSE)))</f>
        <v>0</v>
      </c>
      <c r="CO165" s="523">
        <f t="shared" si="278"/>
        <v>0</v>
      </c>
    </row>
    <row r="166" spans="1:93" x14ac:dyDescent="0.2">
      <c r="A166" s="230"/>
      <c r="B166" s="171" t="str">
        <f t="shared" si="279"/>
        <v/>
      </c>
      <c r="C166" s="230"/>
      <c r="D166" s="169"/>
      <c r="E166" s="165"/>
      <c r="F166" s="165"/>
      <c r="G166" s="165"/>
      <c r="H166" s="165"/>
      <c r="I166" s="168"/>
      <c r="J166" s="167"/>
      <c r="K166" s="168"/>
      <c r="L166" s="167"/>
      <c r="M166" s="167"/>
      <c r="N166" s="168"/>
      <c r="O166" s="168"/>
      <c r="P166" s="167"/>
      <c r="Q166" s="167"/>
      <c r="R166" s="167"/>
      <c r="S166" s="222" t="str">
        <f>IF(ISBLANK(A166),"",IF(ISNA(VLOOKUP(I166,Veg_Parameters!$A$3:$N$65,3,FALSE)),0,(VLOOKUP(I166,Veg_Parameters!$A$3:$N$65,3,FALSE))))</f>
        <v/>
      </c>
      <c r="T166" s="222" t="str">
        <f>IF(ISBLANK(N166),"",IF(ISNA(VLOOKUP(N166,Veg_Parameters!$A$3:$N$65,3,FALSE)),0,(VLOOKUP(N166,Veg_Parameters!$A$3:$N$65,3,FALSE))))</f>
        <v/>
      </c>
      <c r="U166" s="523">
        <f t="shared" si="261"/>
        <v>0</v>
      </c>
      <c r="V166" s="523">
        <f t="shared" si="237"/>
        <v>0</v>
      </c>
      <c r="W166" s="524">
        <f>IF(ISBLANK(A166),0,IF(ISNA(VLOOKUP($I166,Veg_Parameters!$A$3:$N$65,10,FALSE)),0,(VLOOKUP($I166,Veg_Parameters!$A$3:$N$65,10,FALSE))))</f>
        <v>0</v>
      </c>
      <c r="X166" s="524">
        <f>IF(ISBLANK(A166),0,IF(ISNA(VLOOKUP($I166,Veg_Parameters!$A$3:$N$65,11,FALSE)),0,(VLOOKUP($I166,Veg_Parameters!$A$3:$N$65,11,FALSE))))</f>
        <v>0</v>
      </c>
      <c r="Y166" s="524">
        <f>IF(ISBLANK(A166),0,IF(ISNA(VLOOKUP($I166,Veg_Parameters!$A$3:$N$65,12,FALSE)),0,(VLOOKUP($I166,Veg_Parameters!$A$3:$N$65,12,FALSE))))</f>
        <v>0</v>
      </c>
      <c r="Z166" s="525">
        <f t="shared" si="238"/>
        <v>0</v>
      </c>
      <c r="AA166" s="525">
        <f t="shared" si="239"/>
        <v>0</v>
      </c>
      <c r="AB166" s="525">
        <f t="shared" si="240"/>
        <v>0</v>
      </c>
      <c r="AC166" s="524">
        <f>IF(ISBLANK(N166),0,IF(ISNA(VLOOKUP($N166,Veg_Parameters!$A$3:$N$65,10,FALSE)),0,(VLOOKUP($N166,Veg_Parameters!$A$3:$N$65,10,FALSE))))</f>
        <v>0</v>
      </c>
      <c r="AD166" s="524">
        <f>IF(ISBLANK(N166),0,IF(ISNA(VLOOKUP($N166,Veg_Parameters!$A$3:$N$65,11,FALSE)),0,(VLOOKUP($N166,Veg_Parameters!$A$3:$N$65,11,FALSE))))</f>
        <v>0</v>
      </c>
      <c r="AE166" s="524">
        <f>IF(ISBLANK(N166), 0, IF(ISNA(VLOOKUP($N166,Veg_Parameters!$A$3:$N$65,12,FALSE)),0,(VLOOKUP($N166,Veg_Parameters!$A$3:$N$65,12,FALSE))))</f>
        <v>0</v>
      </c>
      <c r="AF166" s="523">
        <f t="shared" si="241"/>
        <v>0</v>
      </c>
      <c r="AG166" s="523">
        <f t="shared" si="242"/>
        <v>0</v>
      </c>
      <c r="AH166" s="523">
        <f t="shared" si="243"/>
        <v>0</v>
      </c>
      <c r="AI166" s="526"/>
      <c r="AJ166" s="527">
        <f>AB166*(IF(ISNA(VLOOKUP($I166,Veg_Parameters!$A$3:$N$65,5,FALSE)),0,(VLOOKUP($I166,Veg_Parameters!$A$3:$N$65,5,FALSE))))</f>
        <v>0</v>
      </c>
      <c r="AK166" s="527">
        <f>IF(ISNA(VLOOKUP($I166,Veg_Parameters!$A$3:$N$65,4,FALSE)),0,(VLOOKUP($I166,Veg_Parameters!$A$3:$N$65,4,FALSE)))</f>
        <v>0</v>
      </c>
      <c r="AL166" s="527">
        <f>AB166*(IF(ISNA(VLOOKUP($I166,Veg_Parameters!$A$3:$N$65,7,FALSE)),0, (VLOOKUP($I166,Veg_Parameters!$A$3:$N$65,7,FALSE))))</f>
        <v>0</v>
      </c>
      <c r="AM166" s="528">
        <f>IF(ISNA(VLOOKUP($I166,Veg_Parameters!$A$3:$N$65,6,FALSE)), 0, (VLOOKUP($I166,Veg_Parameters!$A$3:$N$65,6,FALSE)))</f>
        <v>0</v>
      </c>
      <c r="AN166" s="529">
        <f t="shared" si="244"/>
        <v>20</v>
      </c>
      <c r="AO166" s="529">
        <f t="shared" si="245"/>
        <v>0</v>
      </c>
      <c r="AP166" s="529">
        <f t="shared" si="246"/>
        <v>0</v>
      </c>
      <c r="AQ166" s="530">
        <f t="shared" si="262"/>
        <v>0</v>
      </c>
      <c r="AR166" s="527" t="s">
        <v>3</v>
      </c>
      <c r="AS166" s="527">
        <f>IF(ISNA(VLOOKUP($I166,Veg_Parameters!$A$3:$N$65,8,FALSE)), 0, (VLOOKUP($I166,Veg_Parameters!$A$3:$N$65,8,FALSE)))</f>
        <v>0</v>
      </c>
      <c r="AT166" s="527">
        <f>AB166*(IF(ISNA(VLOOKUP($I166,Veg_Parameters!$A$3:$N$65,9,FALSE)), 0, (VLOOKUP($I166,Veg_Parameters!$A$3:$N$65,9,FALSE))))</f>
        <v>0</v>
      </c>
      <c r="AU166" s="527">
        <f>IF(ISBLANK(A166),0,VLOOKUP($I166,Veg_Parameters!$A$4:$U$65,21,))</f>
        <v>0</v>
      </c>
      <c r="AV166" s="527">
        <f t="shared" si="263"/>
        <v>0</v>
      </c>
      <c r="AW166" s="529">
        <f t="shared" si="264"/>
        <v>0</v>
      </c>
      <c r="AX166" s="529">
        <f t="shared" si="265"/>
        <v>0</v>
      </c>
      <c r="AY166" s="529">
        <f t="shared" si="247"/>
        <v>0</v>
      </c>
      <c r="AZ166" s="529">
        <f t="shared" si="266"/>
        <v>0</v>
      </c>
      <c r="BA166" s="529">
        <f t="shared" si="267"/>
        <v>0</v>
      </c>
      <c r="BB166" s="529">
        <f t="shared" si="268"/>
        <v>0</v>
      </c>
      <c r="BC166" s="529">
        <f t="shared" si="248"/>
        <v>0</v>
      </c>
      <c r="BD166" s="531"/>
      <c r="BE166" s="527">
        <f>AH166*(IF(ISNA(VLOOKUP($N166,Veg_Parameters!$A$3:$N$65,5,FALSE)),0,(VLOOKUP($N166,Veg_Parameters!$A$3:$N$65,5,FALSE))))</f>
        <v>0</v>
      </c>
      <c r="BF166" s="527">
        <f>IF(ISNA(VLOOKUP($N166,Veg_Parameters!$A$3:$N$65,4,FALSE)),0,(VLOOKUP($N166,Veg_Parameters!$A$3:$N$65,4,FALSE)))</f>
        <v>0</v>
      </c>
      <c r="BG166" s="527">
        <f>AH166*(IF(ISNA(VLOOKUP($N166,Veg_Parameters!$A$3:$N$65,7,FALSE)),0, (VLOOKUP($N166,Veg_Parameters!$A$3:$N$65,7,FALSE))))</f>
        <v>0</v>
      </c>
      <c r="BH166" s="527">
        <f>IF(ISNA(VLOOKUP($N166,Veg_Parameters!$A$3:$N$65,6,FALSE)), 0, (VLOOKUP($N166,Veg_Parameters!$A$3:$N$65,6,FALSE)))</f>
        <v>0</v>
      </c>
      <c r="BI166" s="529">
        <f t="shared" si="249"/>
        <v>20</v>
      </c>
      <c r="BJ166" s="529">
        <f t="shared" si="269"/>
        <v>0</v>
      </c>
      <c r="BK166" s="529">
        <f t="shared" si="250"/>
        <v>0</v>
      </c>
      <c r="BL166" s="530">
        <f t="shared" si="270"/>
        <v>0</v>
      </c>
      <c r="BM166" s="527" t="s">
        <v>3</v>
      </c>
      <c r="BN166" s="527">
        <f>IF(ISNA(VLOOKUP(N166,Veg_Parameters!$A$3:$N$65,8,FALSE)), 0, (VLOOKUP($N166,Veg_Parameters!$A$3:$N$65,8,FALSE)))</f>
        <v>0</v>
      </c>
      <c r="BO166" s="527">
        <f>AH166*(IF(ISNA(VLOOKUP($N166,Veg_Parameters!$A$3:$N$65,9,FALSE)), 0, (VLOOKUP($N166,Veg_Parameters!$A$3:$N$65,9,FALSE))))</f>
        <v>0</v>
      </c>
      <c r="BP166" s="527" t="str">
        <f>IF(ISBLANK(N166),"0",VLOOKUP($N166,Veg_Parameters!$A$4:$U$65,21,))</f>
        <v>0</v>
      </c>
      <c r="BQ166" s="529">
        <f t="shared" si="271"/>
        <v>0</v>
      </c>
      <c r="BR166" s="529">
        <f t="shared" si="272"/>
        <v>0</v>
      </c>
      <c r="BS166" s="529">
        <f t="shared" si="251"/>
        <v>0</v>
      </c>
      <c r="BT166" s="529">
        <f t="shared" si="273"/>
        <v>0</v>
      </c>
      <c r="BU166" s="529">
        <f t="shared" si="274"/>
        <v>0</v>
      </c>
      <c r="BV166" s="529">
        <f t="shared" si="275"/>
        <v>0</v>
      </c>
      <c r="BW166" s="532" t="str">
        <f t="shared" si="252"/>
        <v/>
      </c>
      <c r="BX166" s="532" t="str">
        <f t="shared" si="253"/>
        <v/>
      </c>
      <c r="BY166" s="532" t="str">
        <f t="shared" si="254"/>
        <v/>
      </c>
      <c r="BZ166" s="532" t="str">
        <f t="shared" si="255"/>
        <v/>
      </c>
      <c r="CA166" s="532">
        <f t="shared" si="256"/>
        <v>0</v>
      </c>
      <c r="CB166" s="533"/>
      <c r="CC166" s="624">
        <f t="shared" si="257"/>
        <v>0</v>
      </c>
      <c r="CD166" s="534">
        <f t="shared" si="258"/>
        <v>0</v>
      </c>
      <c r="CE166" s="534">
        <f t="shared" si="259"/>
        <v>0</v>
      </c>
      <c r="CF166" s="534">
        <f t="shared" si="260"/>
        <v>0</v>
      </c>
      <c r="CG166" s="534"/>
      <c r="CH166" s="534"/>
      <c r="CI166" s="534">
        <f t="shared" si="276"/>
        <v>0</v>
      </c>
      <c r="CL166" s="534">
        <f>IF(ISNA(VLOOKUP(I166,Veg_Parameters!$A$3:$N$65,13,FALSE)),0,(VLOOKUP(I166,Veg_Parameters!$A$3:$N$65,13,FALSE)))</f>
        <v>0</v>
      </c>
      <c r="CM166" s="534">
        <f t="shared" si="277"/>
        <v>0</v>
      </c>
      <c r="CN166" s="534">
        <f>IF(ISNA(VLOOKUP(N166,Veg_Parameters!$A$3:$N$65,13,FALSE)),0,(VLOOKUP(N166,Veg_Parameters!$A$3:$N$65,13,FALSE)))</f>
        <v>0</v>
      </c>
      <c r="CO166" s="523">
        <f t="shared" si="278"/>
        <v>0</v>
      </c>
    </row>
    <row r="167" spans="1:93" x14ac:dyDescent="0.2">
      <c r="A167" s="230"/>
      <c r="B167" s="171" t="str">
        <f t="shared" si="279"/>
        <v/>
      </c>
      <c r="C167" s="230"/>
      <c r="D167" s="169"/>
      <c r="E167" s="165"/>
      <c r="F167" s="165"/>
      <c r="G167" s="165"/>
      <c r="H167" s="165"/>
      <c r="I167" s="168"/>
      <c r="J167" s="167"/>
      <c r="K167" s="168"/>
      <c r="L167" s="167"/>
      <c r="M167" s="167"/>
      <c r="N167" s="168"/>
      <c r="O167" s="168"/>
      <c r="P167" s="167"/>
      <c r="Q167" s="167"/>
      <c r="R167" s="167"/>
      <c r="S167" s="222" t="str">
        <f>IF(ISBLANK(A167),"",IF(ISNA(VLOOKUP(I167,Veg_Parameters!$A$3:$N$65,3,FALSE)),0,(VLOOKUP(I167,Veg_Parameters!$A$3:$N$65,3,FALSE))))</f>
        <v/>
      </c>
      <c r="T167" s="222" t="str">
        <f>IF(ISBLANK(N167),"",IF(ISNA(VLOOKUP(N167,Veg_Parameters!$A$3:$N$65,3,FALSE)),0,(VLOOKUP(N167,Veg_Parameters!$A$3:$N$65,3,FALSE))))</f>
        <v/>
      </c>
      <c r="U167" s="523">
        <f t="shared" si="261"/>
        <v>0</v>
      </c>
      <c r="V167" s="523">
        <f t="shared" si="237"/>
        <v>0</v>
      </c>
      <c r="W167" s="524">
        <f>IF(ISBLANK(A167),0,IF(ISNA(VLOOKUP($I167,Veg_Parameters!$A$3:$N$65,10,FALSE)),0,(VLOOKUP($I167,Veg_Parameters!$A$3:$N$65,10,FALSE))))</f>
        <v>0</v>
      </c>
      <c r="X167" s="524">
        <f>IF(ISBLANK(A167),0,IF(ISNA(VLOOKUP($I167,Veg_Parameters!$A$3:$N$65,11,FALSE)),0,(VLOOKUP($I167,Veg_Parameters!$A$3:$N$65,11,FALSE))))</f>
        <v>0</v>
      </c>
      <c r="Y167" s="524">
        <f>IF(ISBLANK(A167),0,IF(ISNA(VLOOKUP($I167,Veg_Parameters!$A$3:$N$65,12,FALSE)),0,(VLOOKUP($I167,Veg_Parameters!$A$3:$N$65,12,FALSE))))</f>
        <v>0</v>
      </c>
      <c r="Z167" s="525">
        <f t="shared" si="238"/>
        <v>0</v>
      </c>
      <c r="AA167" s="525">
        <f t="shared" si="239"/>
        <v>0</v>
      </c>
      <c r="AB167" s="525">
        <f t="shared" si="240"/>
        <v>0</v>
      </c>
      <c r="AC167" s="524">
        <f>IF(ISBLANK(N167),0,IF(ISNA(VLOOKUP($N167,Veg_Parameters!$A$3:$N$65,10,FALSE)),0,(VLOOKUP($N167,Veg_Parameters!$A$3:$N$65,10,FALSE))))</f>
        <v>0</v>
      </c>
      <c r="AD167" s="524">
        <f>IF(ISBLANK(N167),0,IF(ISNA(VLOOKUP($N167,Veg_Parameters!$A$3:$N$65,11,FALSE)),0,(VLOOKUP($N167,Veg_Parameters!$A$3:$N$65,11,FALSE))))</f>
        <v>0</v>
      </c>
      <c r="AE167" s="524">
        <f>IF(ISBLANK(N167), 0, IF(ISNA(VLOOKUP($N167,Veg_Parameters!$A$3:$N$65,12,FALSE)),0,(VLOOKUP($N167,Veg_Parameters!$A$3:$N$65,12,FALSE))))</f>
        <v>0</v>
      </c>
      <c r="AF167" s="523">
        <f t="shared" si="241"/>
        <v>0</v>
      </c>
      <c r="AG167" s="523">
        <f t="shared" si="242"/>
        <v>0</v>
      </c>
      <c r="AH167" s="523">
        <f t="shared" si="243"/>
        <v>0</v>
      </c>
      <c r="AI167" s="526"/>
      <c r="AJ167" s="527">
        <f>AB167*(IF(ISNA(VLOOKUP($I167,Veg_Parameters!$A$3:$N$65,5,FALSE)),0,(VLOOKUP($I167,Veg_Parameters!$A$3:$N$65,5,FALSE))))</f>
        <v>0</v>
      </c>
      <c r="AK167" s="527">
        <f>IF(ISNA(VLOOKUP($I167,Veg_Parameters!$A$3:$N$65,4,FALSE)),0,(VLOOKUP($I167,Veg_Parameters!$A$3:$N$65,4,FALSE)))</f>
        <v>0</v>
      </c>
      <c r="AL167" s="527">
        <f>AB167*(IF(ISNA(VLOOKUP($I167,Veg_Parameters!$A$3:$N$65,7,FALSE)),0, (VLOOKUP($I167,Veg_Parameters!$A$3:$N$65,7,FALSE))))</f>
        <v>0</v>
      </c>
      <c r="AM167" s="528">
        <f>IF(ISNA(VLOOKUP($I167,Veg_Parameters!$A$3:$N$65,6,FALSE)), 0, (VLOOKUP($I167,Veg_Parameters!$A$3:$N$65,6,FALSE)))</f>
        <v>0</v>
      </c>
      <c r="AN167" s="529">
        <f t="shared" si="244"/>
        <v>20</v>
      </c>
      <c r="AO167" s="529">
        <f t="shared" si="245"/>
        <v>0</v>
      </c>
      <c r="AP167" s="529">
        <f t="shared" si="246"/>
        <v>0</v>
      </c>
      <c r="AQ167" s="530">
        <f t="shared" si="262"/>
        <v>0</v>
      </c>
      <c r="AR167" s="527" t="s">
        <v>3</v>
      </c>
      <c r="AS167" s="527">
        <f>IF(ISNA(VLOOKUP($I167,Veg_Parameters!$A$3:$N$65,8,FALSE)), 0, (VLOOKUP($I167,Veg_Parameters!$A$3:$N$65,8,FALSE)))</f>
        <v>0</v>
      </c>
      <c r="AT167" s="527">
        <f>AB167*(IF(ISNA(VLOOKUP($I167,Veg_Parameters!$A$3:$N$65,9,FALSE)), 0, (VLOOKUP($I167,Veg_Parameters!$A$3:$N$65,9,FALSE))))</f>
        <v>0</v>
      </c>
      <c r="AU167" s="527">
        <f>IF(ISBLANK(A167),0,VLOOKUP($I167,Veg_Parameters!$A$4:$U$65,21,))</f>
        <v>0</v>
      </c>
      <c r="AV167" s="527">
        <f t="shared" si="263"/>
        <v>0</v>
      </c>
      <c r="AW167" s="529">
        <f t="shared" si="264"/>
        <v>0</v>
      </c>
      <c r="AX167" s="529">
        <f t="shared" si="265"/>
        <v>0</v>
      </c>
      <c r="AY167" s="529">
        <f t="shared" si="247"/>
        <v>0</v>
      </c>
      <c r="AZ167" s="529">
        <f t="shared" si="266"/>
        <v>0</v>
      </c>
      <c r="BA167" s="529">
        <f t="shared" si="267"/>
        <v>0</v>
      </c>
      <c r="BB167" s="529">
        <f t="shared" si="268"/>
        <v>0</v>
      </c>
      <c r="BC167" s="529">
        <f t="shared" si="248"/>
        <v>0</v>
      </c>
      <c r="BD167" s="531"/>
      <c r="BE167" s="527">
        <f>AH167*(IF(ISNA(VLOOKUP($N167,Veg_Parameters!$A$3:$N$65,5,FALSE)),0,(VLOOKUP($N167,Veg_Parameters!$A$3:$N$65,5,FALSE))))</f>
        <v>0</v>
      </c>
      <c r="BF167" s="527">
        <f>IF(ISNA(VLOOKUP($N167,Veg_Parameters!$A$3:$N$65,4,FALSE)),0,(VLOOKUP($N167,Veg_Parameters!$A$3:$N$65,4,FALSE)))</f>
        <v>0</v>
      </c>
      <c r="BG167" s="527">
        <f>AH167*(IF(ISNA(VLOOKUP($N167,Veg_Parameters!$A$3:$N$65,7,FALSE)),0, (VLOOKUP($N167,Veg_Parameters!$A$3:$N$65,7,FALSE))))</f>
        <v>0</v>
      </c>
      <c r="BH167" s="527">
        <f>IF(ISNA(VLOOKUP($N167,Veg_Parameters!$A$3:$N$65,6,FALSE)), 0, (VLOOKUP($N167,Veg_Parameters!$A$3:$N$65,6,FALSE)))</f>
        <v>0</v>
      </c>
      <c r="BI167" s="529">
        <f t="shared" si="249"/>
        <v>20</v>
      </c>
      <c r="BJ167" s="529">
        <f t="shared" si="269"/>
        <v>0</v>
      </c>
      <c r="BK167" s="529">
        <f t="shared" si="250"/>
        <v>0</v>
      </c>
      <c r="BL167" s="530">
        <f t="shared" si="270"/>
        <v>0</v>
      </c>
      <c r="BM167" s="527" t="s">
        <v>3</v>
      </c>
      <c r="BN167" s="527">
        <f>IF(ISNA(VLOOKUP(N167,Veg_Parameters!$A$3:$N$65,8,FALSE)), 0, (VLOOKUP($N167,Veg_Parameters!$A$3:$N$65,8,FALSE)))</f>
        <v>0</v>
      </c>
      <c r="BO167" s="527">
        <f>AH167*(IF(ISNA(VLOOKUP($N167,Veg_Parameters!$A$3:$N$65,9,FALSE)), 0, (VLOOKUP($N167,Veg_Parameters!$A$3:$N$65,9,FALSE))))</f>
        <v>0</v>
      </c>
      <c r="BP167" s="527" t="str">
        <f>IF(ISBLANK(N167),"0",VLOOKUP($N167,Veg_Parameters!$A$4:$U$65,21,))</f>
        <v>0</v>
      </c>
      <c r="BQ167" s="529">
        <f t="shared" si="271"/>
        <v>0</v>
      </c>
      <c r="BR167" s="529">
        <f t="shared" si="272"/>
        <v>0</v>
      </c>
      <c r="BS167" s="529">
        <f t="shared" si="251"/>
        <v>0</v>
      </c>
      <c r="BT167" s="529">
        <f t="shared" si="273"/>
        <v>0</v>
      </c>
      <c r="BU167" s="529">
        <f t="shared" si="274"/>
        <v>0</v>
      </c>
      <c r="BV167" s="529">
        <f t="shared" si="275"/>
        <v>0</v>
      </c>
      <c r="BW167" s="532" t="str">
        <f t="shared" si="252"/>
        <v/>
      </c>
      <c r="BX167" s="532" t="str">
        <f t="shared" si="253"/>
        <v/>
      </c>
      <c r="BY167" s="532" t="str">
        <f t="shared" si="254"/>
        <v/>
      </c>
      <c r="BZ167" s="532" t="str">
        <f t="shared" si="255"/>
        <v/>
      </c>
      <c r="CA167" s="532">
        <f t="shared" si="256"/>
        <v>0</v>
      </c>
      <c r="CB167" s="533"/>
      <c r="CC167" s="624">
        <f t="shared" si="257"/>
        <v>0</v>
      </c>
      <c r="CD167" s="534">
        <f t="shared" si="258"/>
        <v>0</v>
      </c>
      <c r="CE167" s="534">
        <f t="shared" si="259"/>
        <v>0</v>
      </c>
      <c r="CF167" s="534">
        <f t="shared" si="260"/>
        <v>0</v>
      </c>
      <c r="CG167" s="534"/>
      <c r="CH167" s="534"/>
      <c r="CI167" s="534">
        <f t="shared" si="276"/>
        <v>0</v>
      </c>
      <c r="CL167" s="534">
        <f>IF(ISNA(VLOOKUP(I167,Veg_Parameters!$A$3:$N$65,13,FALSE)),0,(VLOOKUP(I167,Veg_Parameters!$A$3:$N$65,13,FALSE)))</f>
        <v>0</v>
      </c>
      <c r="CM167" s="534">
        <f t="shared" si="277"/>
        <v>0</v>
      </c>
      <c r="CN167" s="534">
        <f>IF(ISNA(VLOOKUP(N167,Veg_Parameters!$A$3:$N$65,13,FALSE)),0,(VLOOKUP(N167,Veg_Parameters!$A$3:$N$65,13,FALSE)))</f>
        <v>0</v>
      </c>
      <c r="CO167" s="523">
        <f t="shared" si="278"/>
        <v>0</v>
      </c>
    </row>
    <row r="168" spans="1:93" x14ac:dyDescent="0.2">
      <c r="A168" s="230"/>
      <c r="B168" s="171" t="str">
        <f t="shared" si="279"/>
        <v/>
      </c>
      <c r="C168" s="230"/>
      <c r="D168" s="169"/>
      <c r="E168" s="165"/>
      <c r="F168" s="165"/>
      <c r="G168" s="165"/>
      <c r="H168" s="165"/>
      <c r="I168" s="168"/>
      <c r="J168" s="167"/>
      <c r="K168" s="168"/>
      <c r="L168" s="167"/>
      <c r="M168" s="167"/>
      <c r="N168" s="168"/>
      <c r="O168" s="168"/>
      <c r="P168" s="167"/>
      <c r="Q168" s="167"/>
      <c r="R168" s="167"/>
      <c r="S168" s="222" t="str">
        <f>IF(ISBLANK(A168),"",IF(ISNA(VLOOKUP(I168,Veg_Parameters!$A$3:$N$65,3,FALSE)),0,(VLOOKUP(I168,Veg_Parameters!$A$3:$N$65,3,FALSE))))</f>
        <v/>
      </c>
      <c r="T168" s="222" t="str">
        <f>IF(ISBLANK(N168),"",IF(ISNA(VLOOKUP(N168,Veg_Parameters!$A$3:$N$65,3,FALSE)),0,(VLOOKUP(N168,Veg_Parameters!$A$3:$N$65,3,FALSE))))</f>
        <v/>
      </c>
      <c r="U168" s="523">
        <f t="shared" si="261"/>
        <v>0</v>
      </c>
      <c r="V168" s="523">
        <f t="shared" si="237"/>
        <v>0</v>
      </c>
      <c r="W168" s="524">
        <f>IF(ISBLANK(A168),0,IF(ISNA(VLOOKUP($I168,Veg_Parameters!$A$3:$N$65,10,FALSE)),0,(VLOOKUP($I168,Veg_Parameters!$A$3:$N$65,10,FALSE))))</f>
        <v>0</v>
      </c>
      <c r="X168" s="524">
        <f>IF(ISBLANK(A168),0,IF(ISNA(VLOOKUP($I168,Veg_Parameters!$A$3:$N$65,11,FALSE)),0,(VLOOKUP($I168,Veg_Parameters!$A$3:$N$65,11,FALSE))))</f>
        <v>0</v>
      </c>
      <c r="Y168" s="524">
        <f>IF(ISBLANK(A168),0,IF(ISNA(VLOOKUP($I168,Veg_Parameters!$A$3:$N$65,12,FALSE)),0,(VLOOKUP($I168,Veg_Parameters!$A$3:$N$65,12,FALSE))))</f>
        <v>0</v>
      </c>
      <c r="Z168" s="525">
        <f t="shared" si="238"/>
        <v>0</v>
      </c>
      <c r="AA168" s="525">
        <f t="shared" si="239"/>
        <v>0</v>
      </c>
      <c r="AB168" s="525">
        <f t="shared" si="240"/>
        <v>0</v>
      </c>
      <c r="AC168" s="524">
        <f>IF(ISBLANK(N168),0,IF(ISNA(VLOOKUP($N168,Veg_Parameters!$A$3:$N$65,10,FALSE)),0,(VLOOKUP($N168,Veg_Parameters!$A$3:$N$65,10,FALSE))))</f>
        <v>0</v>
      </c>
      <c r="AD168" s="524">
        <f>IF(ISBLANK(N168),0,IF(ISNA(VLOOKUP($N168,Veg_Parameters!$A$3:$N$65,11,FALSE)),0,(VLOOKUP($N168,Veg_Parameters!$A$3:$N$65,11,FALSE))))</f>
        <v>0</v>
      </c>
      <c r="AE168" s="524">
        <f>IF(ISBLANK(N168), 0, IF(ISNA(VLOOKUP($N168,Veg_Parameters!$A$3:$N$65,12,FALSE)),0,(VLOOKUP($N168,Veg_Parameters!$A$3:$N$65,12,FALSE))))</f>
        <v>0</v>
      </c>
      <c r="AF168" s="523">
        <f t="shared" si="241"/>
        <v>0</v>
      </c>
      <c r="AG168" s="523">
        <f t="shared" si="242"/>
        <v>0</v>
      </c>
      <c r="AH168" s="523">
        <f t="shared" si="243"/>
        <v>0</v>
      </c>
      <c r="AI168" s="526"/>
      <c r="AJ168" s="527">
        <f>AB168*(IF(ISNA(VLOOKUP($I168,Veg_Parameters!$A$3:$N$65,5,FALSE)),0,(VLOOKUP($I168,Veg_Parameters!$A$3:$N$65,5,FALSE))))</f>
        <v>0</v>
      </c>
      <c r="AK168" s="527">
        <f>IF(ISNA(VLOOKUP($I168,Veg_Parameters!$A$3:$N$65,4,FALSE)),0,(VLOOKUP($I168,Veg_Parameters!$A$3:$N$65,4,FALSE)))</f>
        <v>0</v>
      </c>
      <c r="AL168" s="527">
        <f>AB168*(IF(ISNA(VLOOKUP($I168,Veg_Parameters!$A$3:$N$65,7,FALSE)),0, (VLOOKUP($I168,Veg_Parameters!$A$3:$N$65,7,FALSE))))</f>
        <v>0</v>
      </c>
      <c r="AM168" s="528">
        <f>IF(ISNA(VLOOKUP($I168,Veg_Parameters!$A$3:$N$65,6,FALSE)), 0, (VLOOKUP($I168,Veg_Parameters!$A$3:$N$65,6,FALSE)))</f>
        <v>0</v>
      </c>
      <c r="AN168" s="529">
        <f t="shared" si="244"/>
        <v>20</v>
      </c>
      <c r="AO168" s="529">
        <f t="shared" si="245"/>
        <v>0</v>
      </c>
      <c r="AP168" s="529">
        <f t="shared" si="246"/>
        <v>0</v>
      </c>
      <c r="AQ168" s="530">
        <f t="shared" si="262"/>
        <v>0</v>
      </c>
      <c r="AR168" s="527" t="s">
        <v>3</v>
      </c>
      <c r="AS168" s="527">
        <f>IF(ISNA(VLOOKUP($I168,Veg_Parameters!$A$3:$N$65,8,FALSE)), 0, (VLOOKUP($I168,Veg_Parameters!$A$3:$N$65,8,FALSE)))</f>
        <v>0</v>
      </c>
      <c r="AT168" s="527">
        <f>AB168*(IF(ISNA(VLOOKUP($I168,Veg_Parameters!$A$3:$N$65,9,FALSE)), 0, (VLOOKUP($I168,Veg_Parameters!$A$3:$N$65,9,FALSE))))</f>
        <v>0</v>
      </c>
      <c r="AU168" s="527">
        <f>IF(ISBLANK(A168),0,VLOOKUP($I168,Veg_Parameters!$A$4:$U$65,21,))</f>
        <v>0</v>
      </c>
      <c r="AV168" s="527">
        <f t="shared" si="263"/>
        <v>0</v>
      </c>
      <c r="AW168" s="529">
        <f t="shared" si="264"/>
        <v>0</v>
      </c>
      <c r="AX168" s="529">
        <f t="shared" si="265"/>
        <v>0</v>
      </c>
      <c r="AY168" s="529">
        <f t="shared" si="247"/>
        <v>0</v>
      </c>
      <c r="AZ168" s="529">
        <f t="shared" si="266"/>
        <v>0</v>
      </c>
      <c r="BA168" s="529">
        <f t="shared" si="267"/>
        <v>0</v>
      </c>
      <c r="BB168" s="529">
        <f t="shared" si="268"/>
        <v>0</v>
      </c>
      <c r="BC168" s="529">
        <f t="shared" si="248"/>
        <v>0</v>
      </c>
      <c r="BD168" s="531"/>
      <c r="BE168" s="527">
        <f>AH168*(IF(ISNA(VLOOKUP($N168,Veg_Parameters!$A$3:$N$65,5,FALSE)),0,(VLOOKUP($N168,Veg_Parameters!$A$3:$N$65,5,FALSE))))</f>
        <v>0</v>
      </c>
      <c r="BF168" s="527">
        <f>IF(ISNA(VLOOKUP($N168,Veg_Parameters!$A$3:$N$65,4,FALSE)),0,(VLOOKUP($N168,Veg_Parameters!$A$3:$N$65,4,FALSE)))</f>
        <v>0</v>
      </c>
      <c r="BG168" s="527">
        <f>AH168*(IF(ISNA(VLOOKUP($N168,Veg_Parameters!$A$3:$N$65,7,FALSE)),0, (VLOOKUP($N168,Veg_Parameters!$A$3:$N$65,7,FALSE))))</f>
        <v>0</v>
      </c>
      <c r="BH168" s="527">
        <f>IF(ISNA(VLOOKUP($N168,Veg_Parameters!$A$3:$N$65,6,FALSE)), 0, (VLOOKUP($N168,Veg_Parameters!$A$3:$N$65,6,FALSE)))</f>
        <v>0</v>
      </c>
      <c r="BI168" s="529">
        <f t="shared" si="249"/>
        <v>20</v>
      </c>
      <c r="BJ168" s="529">
        <f t="shared" si="269"/>
        <v>0</v>
      </c>
      <c r="BK168" s="529">
        <f t="shared" si="250"/>
        <v>0</v>
      </c>
      <c r="BL168" s="530">
        <f t="shared" si="270"/>
        <v>0</v>
      </c>
      <c r="BM168" s="527" t="s">
        <v>3</v>
      </c>
      <c r="BN168" s="527">
        <f>IF(ISNA(VLOOKUP(N168,Veg_Parameters!$A$3:$N$65,8,FALSE)), 0, (VLOOKUP($N168,Veg_Parameters!$A$3:$N$65,8,FALSE)))</f>
        <v>0</v>
      </c>
      <c r="BO168" s="527">
        <f>AH168*(IF(ISNA(VLOOKUP($N168,Veg_Parameters!$A$3:$N$65,9,FALSE)), 0, (VLOOKUP($N168,Veg_Parameters!$A$3:$N$65,9,FALSE))))</f>
        <v>0</v>
      </c>
      <c r="BP168" s="527" t="str">
        <f>IF(ISBLANK(N168),"0",VLOOKUP($N168,Veg_Parameters!$A$4:$U$65,21,))</f>
        <v>0</v>
      </c>
      <c r="BQ168" s="529">
        <f t="shared" si="271"/>
        <v>0</v>
      </c>
      <c r="BR168" s="529">
        <f t="shared" si="272"/>
        <v>0</v>
      </c>
      <c r="BS168" s="529">
        <f t="shared" si="251"/>
        <v>0</v>
      </c>
      <c r="BT168" s="529">
        <f t="shared" si="273"/>
        <v>0</v>
      </c>
      <c r="BU168" s="529">
        <f t="shared" si="274"/>
        <v>0</v>
      </c>
      <c r="BV168" s="529">
        <f t="shared" si="275"/>
        <v>0</v>
      </c>
      <c r="BW168" s="532" t="str">
        <f t="shared" si="252"/>
        <v/>
      </c>
      <c r="BX168" s="532" t="str">
        <f t="shared" si="253"/>
        <v/>
      </c>
      <c r="BY168" s="532" t="str">
        <f t="shared" si="254"/>
        <v/>
      </c>
      <c r="BZ168" s="532" t="str">
        <f t="shared" si="255"/>
        <v/>
      </c>
      <c r="CA168" s="532">
        <f t="shared" si="256"/>
        <v>0</v>
      </c>
      <c r="CB168" s="533"/>
      <c r="CC168" s="624">
        <f t="shared" si="257"/>
        <v>0</v>
      </c>
      <c r="CD168" s="534">
        <f t="shared" si="258"/>
        <v>0</v>
      </c>
      <c r="CE168" s="534">
        <f t="shared" si="259"/>
        <v>0</v>
      </c>
      <c r="CF168" s="534">
        <f t="shared" si="260"/>
        <v>0</v>
      </c>
      <c r="CG168" s="534"/>
      <c r="CH168" s="534"/>
      <c r="CI168" s="534">
        <f t="shared" si="276"/>
        <v>0</v>
      </c>
      <c r="CL168" s="534">
        <f>IF(ISNA(VLOOKUP(I168,Veg_Parameters!$A$3:$N$65,13,FALSE)),0,(VLOOKUP(I168,Veg_Parameters!$A$3:$N$65,13,FALSE)))</f>
        <v>0</v>
      </c>
      <c r="CM168" s="534">
        <f t="shared" si="277"/>
        <v>0</v>
      </c>
      <c r="CN168" s="534">
        <f>IF(ISNA(VLOOKUP(N168,Veg_Parameters!$A$3:$N$65,13,FALSE)),0,(VLOOKUP(N168,Veg_Parameters!$A$3:$N$65,13,FALSE)))</f>
        <v>0</v>
      </c>
      <c r="CO168" s="523">
        <f t="shared" si="278"/>
        <v>0</v>
      </c>
    </row>
    <row r="169" spans="1:93" x14ac:dyDescent="0.2">
      <c r="A169" s="230"/>
      <c r="B169" s="171" t="str">
        <f t="shared" si="279"/>
        <v/>
      </c>
      <c r="C169" s="230"/>
      <c r="D169" s="169"/>
      <c r="E169" s="165"/>
      <c r="F169" s="165"/>
      <c r="G169" s="165"/>
      <c r="H169" s="165"/>
      <c r="I169" s="168"/>
      <c r="J169" s="167"/>
      <c r="K169" s="168"/>
      <c r="L169" s="167"/>
      <c r="M169" s="167"/>
      <c r="N169" s="168"/>
      <c r="O169" s="168"/>
      <c r="P169" s="167"/>
      <c r="Q169" s="167"/>
      <c r="R169" s="167"/>
      <c r="S169" s="222" t="str">
        <f>IF(ISBLANK(A169),"",IF(ISNA(VLOOKUP(I169,Veg_Parameters!$A$3:$N$65,3,FALSE)),0,(VLOOKUP(I169,Veg_Parameters!$A$3:$N$65,3,FALSE))))</f>
        <v/>
      </c>
      <c r="T169" s="222" t="str">
        <f>IF(ISBLANK(N169),"",IF(ISNA(VLOOKUP(N169,Veg_Parameters!$A$3:$N$65,3,FALSE)),0,(VLOOKUP(N169,Veg_Parameters!$A$3:$N$65,3,FALSE))))</f>
        <v/>
      </c>
      <c r="U169" s="523">
        <f t="shared" si="261"/>
        <v>0</v>
      </c>
      <c r="V169" s="523">
        <f t="shared" si="237"/>
        <v>0</v>
      </c>
      <c r="W169" s="524">
        <f>IF(ISBLANK(A169),0,IF(ISNA(VLOOKUP($I169,Veg_Parameters!$A$3:$N$65,10,FALSE)),0,(VLOOKUP($I169,Veg_Parameters!$A$3:$N$65,10,FALSE))))</f>
        <v>0</v>
      </c>
      <c r="X169" s="524">
        <f>IF(ISBLANK(A169),0,IF(ISNA(VLOOKUP($I169,Veg_Parameters!$A$3:$N$65,11,FALSE)),0,(VLOOKUP($I169,Veg_Parameters!$A$3:$N$65,11,FALSE))))</f>
        <v>0</v>
      </c>
      <c r="Y169" s="524">
        <f>IF(ISBLANK(A169),0,IF(ISNA(VLOOKUP($I169,Veg_Parameters!$A$3:$N$65,12,FALSE)),0,(VLOOKUP($I169,Veg_Parameters!$A$3:$N$65,12,FALSE))))</f>
        <v>0</v>
      </c>
      <c r="Z169" s="525">
        <f t="shared" si="238"/>
        <v>0</v>
      </c>
      <c r="AA169" s="525">
        <f t="shared" si="239"/>
        <v>0</v>
      </c>
      <c r="AB169" s="525">
        <f t="shared" si="240"/>
        <v>0</v>
      </c>
      <c r="AC169" s="524">
        <f>IF(ISBLANK(N169),0,IF(ISNA(VLOOKUP($N169,Veg_Parameters!$A$3:$N$65,10,FALSE)),0,(VLOOKUP($N169,Veg_Parameters!$A$3:$N$65,10,FALSE))))</f>
        <v>0</v>
      </c>
      <c r="AD169" s="524">
        <f>IF(ISBLANK(N169),0,IF(ISNA(VLOOKUP($N169,Veg_Parameters!$A$3:$N$65,11,FALSE)),0,(VLOOKUP($N169,Veg_Parameters!$A$3:$N$65,11,FALSE))))</f>
        <v>0</v>
      </c>
      <c r="AE169" s="524">
        <f>IF(ISBLANK(N169), 0, IF(ISNA(VLOOKUP($N169,Veg_Parameters!$A$3:$N$65,12,FALSE)),0,(VLOOKUP($N169,Veg_Parameters!$A$3:$N$65,12,FALSE))))</f>
        <v>0</v>
      </c>
      <c r="AF169" s="523">
        <f t="shared" si="241"/>
        <v>0</v>
      </c>
      <c r="AG169" s="523">
        <f t="shared" si="242"/>
        <v>0</v>
      </c>
      <c r="AH169" s="523">
        <f t="shared" si="243"/>
        <v>0</v>
      </c>
      <c r="AI169" s="526"/>
      <c r="AJ169" s="527">
        <f>AB169*(IF(ISNA(VLOOKUP($I169,Veg_Parameters!$A$3:$N$65,5,FALSE)),0,(VLOOKUP($I169,Veg_Parameters!$A$3:$N$65,5,FALSE))))</f>
        <v>0</v>
      </c>
      <c r="AK169" s="527">
        <f>IF(ISNA(VLOOKUP($I169,Veg_Parameters!$A$3:$N$65,4,FALSE)),0,(VLOOKUP($I169,Veg_Parameters!$A$3:$N$65,4,FALSE)))</f>
        <v>0</v>
      </c>
      <c r="AL169" s="527">
        <f>AB169*(IF(ISNA(VLOOKUP($I169,Veg_Parameters!$A$3:$N$65,7,FALSE)),0, (VLOOKUP($I169,Veg_Parameters!$A$3:$N$65,7,FALSE))))</f>
        <v>0</v>
      </c>
      <c r="AM169" s="528">
        <f>IF(ISNA(VLOOKUP($I169,Veg_Parameters!$A$3:$N$65,6,FALSE)), 0, (VLOOKUP($I169,Veg_Parameters!$A$3:$N$65,6,FALSE)))</f>
        <v>0</v>
      </c>
      <c r="AN169" s="529">
        <f t="shared" si="244"/>
        <v>20</v>
      </c>
      <c r="AO169" s="529">
        <f t="shared" si="245"/>
        <v>0</v>
      </c>
      <c r="AP169" s="529">
        <f t="shared" si="246"/>
        <v>0</v>
      </c>
      <c r="AQ169" s="530">
        <f t="shared" si="262"/>
        <v>0</v>
      </c>
      <c r="AR169" s="527" t="s">
        <v>3</v>
      </c>
      <c r="AS169" s="527">
        <f>IF(ISNA(VLOOKUP($I169,Veg_Parameters!$A$3:$N$65,8,FALSE)), 0, (VLOOKUP($I169,Veg_Parameters!$A$3:$N$65,8,FALSE)))</f>
        <v>0</v>
      </c>
      <c r="AT169" s="527">
        <f>AB169*(IF(ISNA(VLOOKUP($I169,Veg_Parameters!$A$3:$N$65,9,FALSE)), 0, (VLOOKUP($I169,Veg_Parameters!$A$3:$N$65,9,FALSE))))</f>
        <v>0</v>
      </c>
      <c r="AU169" s="527">
        <f>IF(ISBLANK(A169),0,VLOOKUP($I169,Veg_Parameters!$A$4:$U$65,21,))</f>
        <v>0</v>
      </c>
      <c r="AV169" s="527">
        <f t="shared" si="263"/>
        <v>0</v>
      </c>
      <c r="AW169" s="529">
        <f t="shared" si="264"/>
        <v>0</v>
      </c>
      <c r="AX169" s="529">
        <f t="shared" si="265"/>
        <v>0</v>
      </c>
      <c r="AY169" s="529">
        <f t="shared" si="247"/>
        <v>0</v>
      </c>
      <c r="AZ169" s="529">
        <f t="shared" si="266"/>
        <v>0</v>
      </c>
      <c r="BA169" s="529">
        <f t="shared" si="267"/>
        <v>0</v>
      </c>
      <c r="BB169" s="529">
        <f t="shared" si="268"/>
        <v>0</v>
      </c>
      <c r="BC169" s="529">
        <f t="shared" si="248"/>
        <v>0</v>
      </c>
      <c r="BD169" s="531"/>
      <c r="BE169" s="527">
        <f>AH169*(IF(ISNA(VLOOKUP($N169,Veg_Parameters!$A$3:$N$65,5,FALSE)),0,(VLOOKUP($N169,Veg_Parameters!$A$3:$N$65,5,FALSE))))</f>
        <v>0</v>
      </c>
      <c r="BF169" s="527">
        <f>IF(ISNA(VLOOKUP($N169,Veg_Parameters!$A$3:$N$65,4,FALSE)),0,(VLOOKUP($N169,Veg_Parameters!$A$3:$N$65,4,FALSE)))</f>
        <v>0</v>
      </c>
      <c r="BG169" s="527">
        <f>AH169*(IF(ISNA(VLOOKUP($N169,Veg_Parameters!$A$3:$N$65,7,FALSE)),0, (VLOOKUP($N169,Veg_Parameters!$A$3:$N$65,7,FALSE))))</f>
        <v>0</v>
      </c>
      <c r="BH169" s="527">
        <f>IF(ISNA(VLOOKUP($N169,Veg_Parameters!$A$3:$N$65,6,FALSE)), 0, (VLOOKUP($N169,Veg_Parameters!$A$3:$N$65,6,FALSE)))</f>
        <v>0</v>
      </c>
      <c r="BI169" s="529">
        <f t="shared" si="249"/>
        <v>20</v>
      </c>
      <c r="BJ169" s="529">
        <f t="shared" si="269"/>
        <v>0</v>
      </c>
      <c r="BK169" s="529">
        <f t="shared" si="250"/>
        <v>0</v>
      </c>
      <c r="BL169" s="530">
        <f t="shared" si="270"/>
        <v>0</v>
      </c>
      <c r="BM169" s="527" t="s">
        <v>3</v>
      </c>
      <c r="BN169" s="527">
        <f>IF(ISNA(VLOOKUP(N169,Veg_Parameters!$A$3:$N$65,8,FALSE)), 0, (VLOOKUP($N169,Veg_Parameters!$A$3:$N$65,8,FALSE)))</f>
        <v>0</v>
      </c>
      <c r="BO169" s="527">
        <f>AH169*(IF(ISNA(VLOOKUP($N169,Veg_Parameters!$A$3:$N$65,9,FALSE)), 0, (VLOOKUP($N169,Veg_Parameters!$A$3:$N$65,9,FALSE))))</f>
        <v>0</v>
      </c>
      <c r="BP169" s="527" t="str">
        <f>IF(ISBLANK(N169),"0",VLOOKUP($N169,Veg_Parameters!$A$4:$U$65,21,))</f>
        <v>0</v>
      </c>
      <c r="BQ169" s="529">
        <f t="shared" si="271"/>
        <v>0</v>
      </c>
      <c r="BR169" s="529">
        <f t="shared" si="272"/>
        <v>0</v>
      </c>
      <c r="BS169" s="529">
        <f t="shared" si="251"/>
        <v>0</v>
      </c>
      <c r="BT169" s="529">
        <f t="shared" si="273"/>
        <v>0</v>
      </c>
      <c r="BU169" s="529">
        <f t="shared" si="274"/>
        <v>0</v>
      </c>
      <c r="BV169" s="529">
        <f t="shared" si="275"/>
        <v>0</v>
      </c>
      <c r="BW169" s="532" t="str">
        <f t="shared" si="252"/>
        <v/>
      </c>
      <c r="BX169" s="532" t="str">
        <f t="shared" si="253"/>
        <v/>
      </c>
      <c r="BY169" s="532" t="str">
        <f t="shared" si="254"/>
        <v/>
      </c>
      <c r="BZ169" s="532" t="str">
        <f t="shared" si="255"/>
        <v/>
      </c>
      <c r="CA169" s="532">
        <f t="shared" si="256"/>
        <v>0</v>
      </c>
      <c r="CB169" s="533"/>
      <c r="CC169" s="624">
        <f t="shared" si="257"/>
        <v>0</v>
      </c>
      <c r="CD169" s="534">
        <f t="shared" si="258"/>
        <v>0</v>
      </c>
      <c r="CE169" s="534">
        <f t="shared" si="259"/>
        <v>0</v>
      </c>
      <c r="CF169" s="534">
        <f t="shared" si="260"/>
        <v>0</v>
      </c>
      <c r="CG169" s="534"/>
      <c r="CH169" s="534"/>
      <c r="CI169" s="534">
        <f t="shared" si="276"/>
        <v>0</v>
      </c>
      <c r="CL169" s="534">
        <f>IF(ISNA(VLOOKUP(I169,Veg_Parameters!$A$3:$N$65,13,FALSE)),0,(VLOOKUP(I169,Veg_Parameters!$A$3:$N$65,13,FALSE)))</f>
        <v>0</v>
      </c>
      <c r="CM169" s="534">
        <f t="shared" si="277"/>
        <v>0</v>
      </c>
      <c r="CN169" s="534">
        <f>IF(ISNA(VLOOKUP(N169,Veg_Parameters!$A$3:$N$65,13,FALSE)),0,(VLOOKUP(N169,Veg_Parameters!$A$3:$N$65,13,FALSE)))</f>
        <v>0</v>
      </c>
      <c r="CO169" s="523">
        <f t="shared" si="278"/>
        <v>0</v>
      </c>
    </row>
    <row r="170" spans="1:93" x14ac:dyDescent="0.2">
      <c r="A170" s="227"/>
      <c r="B170" s="171" t="str">
        <f t="shared" si="279"/>
        <v/>
      </c>
      <c r="C170" s="230"/>
      <c r="D170" s="169"/>
      <c r="E170" s="165"/>
      <c r="F170" s="165"/>
      <c r="G170" s="165"/>
      <c r="H170" s="165"/>
      <c r="I170" s="168"/>
      <c r="J170" s="167"/>
      <c r="K170" s="168"/>
      <c r="L170" s="167"/>
      <c r="M170" s="167"/>
      <c r="N170" s="168"/>
      <c r="O170" s="168"/>
      <c r="P170" s="167"/>
      <c r="Q170" s="167"/>
      <c r="R170" s="167"/>
      <c r="S170" s="222" t="str">
        <f>IF(ISBLANK(A170),"",IF(ISNA(VLOOKUP(I170,Veg_Parameters!$A$3:$N$65,3,FALSE)),0,(VLOOKUP(I170,Veg_Parameters!$A$3:$N$65,3,FALSE))))</f>
        <v/>
      </c>
      <c r="T170" s="222" t="str">
        <f>IF(ISBLANK(N170),"",IF(ISNA(VLOOKUP(N170,Veg_Parameters!$A$3:$N$65,3,FALSE)),0,(VLOOKUP(N170,Veg_Parameters!$A$3:$N$65,3,FALSE))))</f>
        <v/>
      </c>
      <c r="U170" s="523">
        <f t="shared" si="261"/>
        <v>0</v>
      </c>
      <c r="V170" s="523">
        <f t="shared" si="237"/>
        <v>0</v>
      </c>
      <c r="W170" s="524">
        <f>IF(ISBLANK(A170),0,IF(ISNA(VLOOKUP($I170,Veg_Parameters!$A$3:$N$65,10,FALSE)),0,(VLOOKUP($I170,Veg_Parameters!$A$3:$N$65,10,FALSE))))</f>
        <v>0</v>
      </c>
      <c r="X170" s="524">
        <f>IF(ISBLANK(A170),0,IF(ISNA(VLOOKUP($I170,Veg_Parameters!$A$3:$N$65,11,FALSE)),0,(VLOOKUP($I170,Veg_Parameters!$A$3:$N$65,11,FALSE))))</f>
        <v>0</v>
      </c>
      <c r="Y170" s="524">
        <f>IF(ISBLANK(A170),0,IF(ISNA(VLOOKUP($I170,Veg_Parameters!$A$3:$N$65,12,FALSE)),0,(VLOOKUP($I170,Veg_Parameters!$A$3:$N$65,12,FALSE))))</f>
        <v>0</v>
      </c>
      <c r="Z170" s="525">
        <f t="shared" si="238"/>
        <v>0</v>
      </c>
      <c r="AA170" s="525">
        <f t="shared" si="239"/>
        <v>0</v>
      </c>
      <c r="AB170" s="525">
        <f t="shared" si="240"/>
        <v>0</v>
      </c>
      <c r="AC170" s="524">
        <f>IF(ISBLANK(N170),0,IF(ISNA(VLOOKUP($N170,Veg_Parameters!$A$3:$N$65,10,FALSE)),0,(VLOOKUP($N170,Veg_Parameters!$A$3:$N$65,10,FALSE))))</f>
        <v>0</v>
      </c>
      <c r="AD170" s="524">
        <f>IF(ISBLANK(N170),0,IF(ISNA(VLOOKUP($N170,Veg_Parameters!$A$3:$N$65,11,FALSE)),0,(VLOOKUP($N170,Veg_Parameters!$A$3:$N$65,11,FALSE))))</f>
        <v>0</v>
      </c>
      <c r="AE170" s="524">
        <f>IF(ISBLANK(N170), 0, IF(ISNA(VLOOKUP($N170,Veg_Parameters!$A$3:$N$65,12,FALSE)),0,(VLOOKUP($N170,Veg_Parameters!$A$3:$N$65,12,FALSE))))</f>
        <v>0</v>
      </c>
      <c r="AF170" s="523">
        <f t="shared" si="241"/>
        <v>0</v>
      </c>
      <c r="AG170" s="523">
        <f t="shared" si="242"/>
        <v>0</v>
      </c>
      <c r="AH170" s="523">
        <f t="shared" si="243"/>
        <v>0</v>
      </c>
      <c r="AI170" s="526"/>
      <c r="AJ170" s="527">
        <f>AB170*(IF(ISNA(VLOOKUP($I170,Veg_Parameters!$A$3:$N$65,5,FALSE)),0,(VLOOKUP($I170,Veg_Parameters!$A$3:$N$65,5,FALSE))))</f>
        <v>0</v>
      </c>
      <c r="AK170" s="527">
        <f>IF(ISNA(VLOOKUP($I170,Veg_Parameters!$A$3:$N$65,4,FALSE)),0,(VLOOKUP($I170,Veg_Parameters!$A$3:$N$65,4,FALSE)))</f>
        <v>0</v>
      </c>
      <c r="AL170" s="527">
        <f>AB170*(IF(ISNA(VLOOKUP($I170,Veg_Parameters!$A$3:$N$65,7,FALSE)),0, (VLOOKUP($I170,Veg_Parameters!$A$3:$N$65,7,FALSE))))</f>
        <v>0</v>
      </c>
      <c r="AM170" s="528">
        <f>IF(ISNA(VLOOKUP($I170,Veg_Parameters!$A$3:$N$65,6,FALSE)), 0, (VLOOKUP($I170,Veg_Parameters!$A$3:$N$65,6,FALSE)))</f>
        <v>0</v>
      </c>
      <c r="AN170" s="529">
        <f t="shared" si="244"/>
        <v>20</v>
      </c>
      <c r="AO170" s="529">
        <f t="shared" si="245"/>
        <v>0</v>
      </c>
      <c r="AP170" s="529">
        <f t="shared" si="246"/>
        <v>0</v>
      </c>
      <c r="AQ170" s="530">
        <f t="shared" si="262"/>
        <v>0</v>
      </c>
      <c r="AR170" s="527" t="s">
        <v>3</v>
      </c>
      <c r="AS170" s="527">
        <f>IF(ISNA(VLOOKUP($I170,Veg_Parameters!$A$3:$N$65,8,FALSE)), 0, (VLOOKUP($I170,Veg_Parameters!$A$3:$N$65,8,FALSE)))</f>
        <v>0</v>
      </c>
      <c r="AT170" s="527">
        <f>AB170*(IF(ISNA(VLOOKUP($I170,Veg_Parameters!$A$3:$N$65,9,FALSE)), 0, (VLOOKUP($I170,Veg_Parameters!$A$3:$N$65,9,FALSE))))</f>
        <v>0</v>
      </c>
      <c r="AU170" s="527">
        <f>IF(ISBLANK(A170),0,VLOOKUP($I170,Veg_Parameters!$A$4:$U$65,21,))</f>
        <v>0</v>
      </c>
      <c r="AV170" s="527">
        <f t="shared" si="263"/>
        <v>0</v>
      </c>
      <c r="AW170" s="529">
        <f t="shared" si="264"/>
        <v>0</v>
      </c>
      <c r="AX170" s="529">
        <f t="shared" si="265"/>
        <v>0</v>
      </c>
      <c r="AY170" s="529">
        <f t="shared" si="247"/>
        <v>0</v>
      </c>
      <c r="AZ170" s="529">
        <f t="shared" si="266"/>
        <v>0</v>
      </c>
      <c r="BA170" s="529">
        <f t="shared" si="267"/>
        <v>0</v>
      </c>
      <c r="BB170" s="529">
        <f t="shared" si="268"/>
        <v>0</v>
      </c>
      <c r="BC170" s="529">
        <f t="shared" si="248"/>
        <v>0</v>
      </c>
      <c r="BD170" s="531"/>
      <c r="BE170" s="527">
        <f>AH170*(IF(ISNA(VLOOKUP($N170,Veg_Parameters!$A$3:$N$65,5,FALSE)),0,(VLOOKUP($N170,Veg_Parameters!$A$3:$N$65,5,FALSE))))</f>
        <v>0</v>
      </c>
      <c r="BF170" s="527">
        <f>IF(ISNA(VLOOKUP($N170,Veg_Parameters!$A$3:$N$65,4,FALSE)),0,(VLOOKUP($N170,Veg_Parameters!$A$3:$N$65,4,FALSE)))</f>
        <v>0</v>
      </c>
      <c r="BG170" s="527">
        <f>AH170*(IF(ISNA(VLOOKUP($N170,Veg_Parameters!$A$3:$N$65,7,FALSE)),0, (VLOOKUP($N170,Veg_Parameters!$A$3:$N$65,7,FALSE))))</f>
        <v>0</v>
      </c>
      <c r="BH170" s="527">
        <f>IF(ISNA(VLOOKUP($N170,Veg_Parameters!$A$3:$N$65,6,FALSE)), 0, (VLOOKUP($N170,Veg_Parameters!$A$3:$N$65,6,FALSE)))</f>
        <v>0</v>
      </c>
      <c r="BI170" s="529">
        <f t="shared" si="249"/>
        <v>20</v>
      </c>
      <c r="BJ170" s="529">
        <f t="shared" si="269"/>
        <v>0</v>
      </c>
      <c r="BK170" s="529">
        <f t="shared" si="250"/>
        <v>0</v>
      </c>
      <c r="BL170" s="530">
        <f t="shared" si="270"/>
        <v>0</v>
      </c>
      <c r="BM170" s="527" t="s">
        <v>3</v>
      </c>
      <c r="BN170" s="527">
        <f>IF(ISNA(VLOOKUP(N170,Veg_Parameters!$A$3:$N$65,8,FALSE)), 0, (VLOOKUP($N170,Veg_Parameters!$A$3:$N$65,8,FALSE)))</f>
        <v>0</v>
      </c>
      <c r="BO170" s="527">
        <f>AH170*(IF(ISNA(VLOOKUP($N170,Veg_Parameters!$A$3:$N$65,9,FALSE)), 0, (VLOOKUP($N170,Veg_Parameters!$A$3:$N$65,9,FALSE))))</f>
        <v>0</v>
      </c>
      <c r="BP170" s="527" t="str">
        <f>IF(ISBLANK(N170),"0",VLOOKUP($N170,Veg_Parameters!$A$4:$U$65,21,))</f>
        <v>0</v>
      </c>
      <c r="BQ170" s="529">
        <f t="shared" si="271"/>
        <v>0</v>
      </c>
      <c r="BR170" s="529">
        <f t="shared" si="272"/>
        <v>0</v>
      </c>
      <c r="BS170" s="529">
        <f t="shared" si="251"/>
        <v>0</v>
      </c>
      <c r="BT170" s="529">
        <f t="shared" si="273"/>
        <v>0</v>
      </c>
      <c r="BU170" s="529">
        <f t="shared" si="274"/>
        <v>0</v>
      </c>
      <c r="BV170" s="529">
        <f t="shared" si="275"/>
        <v>0</v>
      </c>
      <c r="BW170" s="532" t="str">
        <f t="shared" si="252"/>
        <v/>
      </c>
      <c r="BX170" s="532" t="str">
        <f t="shared" si="253"/>
        <v/>
      </c>
      <c r="BY170" s="532" t="str">
        <f t="shared" si="254"/>
        <v/>
      </c>
      <c r="BZ170" s="532" t="str">
        <f t="shared" si="255"/>
        <v/>
      </c>
      <c r="CA170" s="532">
        <f t="shared" si="256"/>
        <v>0</v>
      </c>
      <c r="CB170" s="533"/>
      <c r="CC170" s="624">
        <f t="shared" si="257"/>
        <v>0</v>
      </c>
      <c r="CD170" s="534">
        <f t="shared" si="258"/>
        <v>0</v>
      </c>
      <c r="CE170" s="534">
        <f t="shared" si="259"/>
        <v>0</v>
      </c>
      <c r="CF170" s="534">
        <f t="shared" si="260"/>
        <v>0</v>
      </c>
      <c r="CG170" s="534"/>
      <c r="CH170" s="534"/>
      <c r="CI170" s="534">
        <f t="shared" si="276"/>
        <v>0</v>
      </c>
      <c r="CL170" s="534">
        <f>IF(ISNA(VLOOKUP(I170,Veg_Parameters!$A$3:$N$65,13,FALSE)),0,(VLOOKUP(I170,Veg_Parameters!$A$3:$N$65,13,FALSE)))</f>
        <v>0</v>
      </c>
      <c r="CM170" s="534">
        <f t="shared" si="277"/>
        <v>0</v>
      </c>
      <c r="CN170" s="534">
        <f>IF(ISNA(VLOOKUP(N170,Veg_Parameters!$A$3:$N$65,13,FALSE)),0,(VLOOKUP(N170,Veg_Parameters!$A$3:$N$65,13,FALSE)))</f>
        <v>0</v>
      </c>
      <c r="CO170" s="523">
        <f t="shared" si="278"/>
        <v>0</v>
      </c>
    </row>
    <row r="171" spans="1:93" x14ac:dyDescent="0.2">
      <c r="A171" s="227"/>
      <c r="B171" s="171" t="str">
        <f t="shared" si="279"/>
        <v/>
      </c>
      <c r="C171" s="230"/>
      <c r="D171" s="169"/>
      <c r="E171" s="165"/>
      <c r="F171" s="165"/>
      <c r="G171" s="165"/>
      <c r="H171" s="165"/>
      <c r="I171" s="168"/>
      <c r="J171" s="167"/>
      <c r="K171" s="168"/>
      <c r="L171" s="167"/>
      <c r="M171" s="167"/>
      <c r="N171" s="168"/>
      <c r="O171" s="168"/>
      <c r="P171" s="167"/>
      <c r="Q171" s="167"/>
      <c r="R171" s="167"/>
      <c r="S171" s="222" t="str">
        <f>IF(ISBLANK(A171),"",IF(ISNA(VLOOKUP(I171,Veg_Parameters!$A$3:$N$65,3,FALSE)),0,(VLOOKUP(I171,Veg_Parameters!$A$3:$N$65,3,FALSE))))</f>
        <v/>
      </c>
      <c r="T171" s="222" t="str">
        <f>IF(ISBLANK(N171),"",IF(ISNA(VLOOKUP(N171,Veg_Parameters!$A$3:$N$65,3,FALSE)),0,(VLOOKUP(N171,Veg_Parameters!$A$3:$N$65,3,FALSE))))</f>
        <v/>
      </c>
      <c r="U171" s="523">
        <f t="shared" si="261"/>
        <v>0</v>
      </c>
      <c r="V171" s="523">
        <f t="shared" si="237"/>
        <v>0</v>
      </c>
      <c r="W171" s="524">
        <f>IF(ISBLANK(A171),0,IF(ISNA(VLOOKUP($I171,Veg_Parameters!$A$3:$N$65,10,FALSE)),0,(VLOOKUP($I171,Veg_Parameters!$A$3:$N$65,10,FALSE))))</f>
        <v>0</v>
      </c>
      <c r="X171" s="524">
        <f>IF(ISBLANK(A171),0,IF(ISNA(VLOOKUP($I171,Veg_Parameters!$A$3:$N$65,11,FALSE)),0,(VLOOKUP($I171,Veg_Parameters!$A$3:$N$65,11,FALSE))))</f>
        <v>0</v>
      </c>
      <c r="Y171" s="524">
        <f>IF(ISBLANK(A171),0,IF(ISNA(VLOOKUP($I171,Veg_Parameters!$A$3:$N$65,12,FALSE)),0,(VLOOKUP($I171,Veg_Parameters!$A$3:$N$65,12,FALSE))))</f>
        <v>0</v>
      </c>
      <c r="Z171" s="525">
        <f t="shared" si="238"/>
        <v>0</v>
      </c>
      <c r="AA171" s="525">
        <f t="shared" si="239"/>
        <v>0</v>
      </c>
      <c r="AB171" s="525">
        <f t="shared" si="240"/>
        <v>0</v>
      </c>
      <c r="AC171" s="524">
        <f>IF(ISBLANK(N171),0,IF(ISNA(VLOOKUP($N171,Veg_Parameters!$A$3:$N$65,10,FALSE)),0,(VLOOKUP($N171,Veg_Parameters!$A$3:$N$65,10,FALSE))))</f>
        <v>0</v>
      </c>
      <c r="AD171" s="524">
        <f>IF(ISBLANK(N171),0,IF(ISNA(VLOOKUP($N171,Veg_Parameters!$A$3:$N$65,11,FALSE)),0,(VLOOKUP($N171,Veg_Parameters!$A$3:$N$65,11,FALSE))))</f>
        <v>0</v>
      </c>
      <c r="AE171" s="524">
        <f>IF(ISBLANK(N171), 0, IF(ISNA(VLOOKUP($N171,Veg_Parameters!$A$3:$N$65,12,FALSE)),0,(VLOOKUP($N171,Veg_Parameters!$A$3:$N$65,12,FALSE))))</f>
        <v>0</v>
      </c>
      <c r="AF171" s="523">
        <f t="shared" si="241"/>
        <v>0</v>
      </c>
      <c r="AG171" s="523">
        <f t="shared" si="242"/>
        <v>0</v>
      </c>
      <c r="AH171" s="523">
        <f t="shared" si="243"/>
        <v>0</v>
      </c>
      <c r="AI171" s="526"/>
      <c r="AJ171" s="527">
        <f>AB171*(IF(ISNA(VLOOKUP($I171,Veg_Parameters!$A$3:$N$65,5,FALSE)),0,(VLOOKUP($I171,Veg_Parameters!$A$3:$N$65,5,FALSE))))</f>
        <v>0</v>
      </c>
      <c r="AK171" s="527">
        <f>IF(ISNA(VLOOKUP($I171,Veg_Parameters!$A$3:$N$65,4,FALSE)),0,(VLOOKUP($I171,Veg_Parameters!$A$3:$N$65,4,FALSE)))</f>
        <v>0</v>
      </c>
      <c r="AL171" s="527">
        <f>AB171*(IF(ISNA(VLOOKUP($I171,Veg_Parameters!$A$3:$N$65,7,FALSE)),0, (VLOOKUP($I171,Veg_Parameters!$A$3:$N$65,7,FALSE))))</f>
        <v>0</v>
      </c>
      <c r="AM171" s="528">
        <f>IF(ISNA(VLOOKUP($I171,Veg_Parameters!$A$3:$N$65,6,FALSE)), 0, (VLOOKUP($I171,Veg_Parameters!$A$3:$N$65,6,FALSE)))</f>
        <v>0</v>
      </c>
      <c r="AN171" s="529">
        <f t="shared" si="244"/>
        <v>20</v>
      </c>
      <c r="AO171" s="529">
        <f t="shared" si="245"/>
        <v>0</v>
      </c>
      <c r="AP171" s="529">
        <f t="shared" si="246"/>
        <v>0</v>
      </c>
      <c r="AQ171" s="530">
        <f t="shared" si="262"/>
        <v>0</v>
      </c>
      <c r="AR171" s="527" t="s">
        <v>3</v>
      </c>
      <c r="AS171" s="527">
        <f>IF(ISNA(VLOOKUP($I171,Veg_Parameters!$A$3:$N$65,8,FALSE)), 0, (VLOOKUP($I171,Veg_Parameters!$A$3:$N$65,8,FALSE)))</f>
        <v>0</v>
      </c>
      <c r="AT171" s="527">
        <f>AB171*(IF(ISNA(VLOOKUP($I171,Veg_Parameters!$A$3:$N$65,9,FALSE)), 0, (VLOOKUP($I171,Veg_Parameters!$A$3:$N$65,9,FALSE))))</f>
        <v>0</v>
      </c>
      <c r="AU171" s="527">
        <f>IF(ISBLANK(A171),0,VLOOKUP($I171,Veg_Parameters!$A$4:$U$65,21,))</f>
        <v>0</v>
      </c>
      <c r="AV171" s="527">
        <f t="shared" si="263"/>
        <v>0</v>
      </c>
      <c r="AW171" s="529">
        <f t="shared" si="264"/>
        <v>0</v>
      </c>
      <c r="AX171" s="529">
        <f t="shared" si="265"/>
        <v>0</v>
      </c>
      <c r="AY171" s="529">
        <f t="shared" si="247"/>
        <v>0</v>
      </c>
      <c r="AZ171" s="529">
        <f t="shared" si="266"/>
        <v>0</v>
      </c>
      <c r="BA171" s="529">
        <f t="shared" si="267"/>
        <v>0</v>
      </c>
      <c r="BB171" s="529">
        <f t="shared" si="268"/>
        <v>0</v>
      </c>
      <c r="BC171" s="529">
        <f t="shared" si="248"/>
        <v>0</v>
      </c>
      <c r="BD171" s="531"/>
      <c r="BE171" s="527">
        <f>AH171*(IF(ISNA(VLOOKUP($N171,Veg_Parameters!$A$3:$N$65,5,FALSE)),0,(VLOOKUP($N171,Veg_Parameters!$A$3:$N$65,5,FALSE))))</f>
        <v>0</v>
      </c>
      <c r="BF171" s="527">
        <f>IF(ISNA(VLOOKUP($N171,Veg_Parameters!$A$3:$N$65,4,FALSE)),0,(VLOOKUP($N171,Veg_Parameters!$A$3:$N$65,4,FALSE)))</f>
        <v>0</v>
      </c>
      <c r="BG171" s="527">
        <f>AH171*(IF(ISNA(VLOOKUP($N171,Veg_Parameters!$A$3:$N$65,7,FALSE)),0, (VLOOKUP($N171,Veg_Parameters!$A$3:$N$65,7,FALSE))))</f>
        <v>0</v>
      </c>
      <c r="BH171" s="527">
        <f>IF(ISNA(VLOOKUP($N171,Veg_Parameters!$A$3:$N$65,6,FALSE)), 0, (VLOOKUP($N171,Veg_Parameters!$A$3:$N$65,6,FALSE)))</f>
        <v>0</v>
      </c>
      <c r="BI171" s="529">
        <f t="shared" si="249"/>
        <v>20</v>
      </c>
      <c r="BJ171" s="529">
        <f t="shared" si="269"/>
        <v>0</v>
      </c>
      <c r="BK171" s="529">
        <f t="shared" si="250"/>
        <v>0</v>
      </c>
      <c r="BL171" s="530">
        <f t="shared" si="270"/>
        <v>0</v>
      </c>
      <c r="BM171" s="527" t="s">
        <v>3</v>
      </c>
      <c r="BN171" s="527">
        <f>IF(ISNA(VLOOKUP(N171,Veg_Parameters!$A$3:$N$65,8,FALSE)), 0, (VLOOKUP($N171,Veg_Parameters!$A$3:$N$65,8,FALSE)))</f>
        <v>0</v>
      </c>
      <c r="BO171" s="527">
        <f>AH171*(IF(ISNA(VLOOKUP($N171,Veg_Parameters!$A$3:$N$65,9,FALSE)), 0, (VLOOKUP($N171,Veg_Parameters!$A$3:$N$65,9,FALSE))))</f>
        <v>0</v>
      </c>
      <c r="BP171" s="527" t="str">
        <f>IF(ISBLANK(N171),"0",VLOOKUP($N171,Veg_Parameters!$A$4:$U$65,21,))</f>
        <v>0</v>
      </c>
      <c r="BQ171" s="529">
        <f t="shared" si="271"/>
        <v>0</v>
      </c>
      <c r="BR171" s="529">
        <f t="shared" si="272"/>
        <v>0</v>
      </c>
      <c r="BS171" s="529">
        <f t="shared" si="251"/>
        <v>0</v>
      </c>
      <c r="BT171" s="529">
        <f t="shared" si="273"/>
        <v>0</v>
      </c>
      <c r="BU171" s="529">
        <f t="shared" si="274"/>
        <v>0</v>
      </c>
      <c r="BV171" s="529">
        <f t="shared" si="275"/>
        <v>0</v>
      </c>
      <c r="BW171" s="532" t="str">
        <f t="shared" si="252"/>
        <v/>
      </c>
      <c r="BX171" s="532" t="str">
        <f t="shared" si="253"/>
        <v/>
      </c>
      <c r="BY171" s="532" t="str">
        <f t="shared" si="254"/>
        <v/>
      </c>
      <c r="BZ171" s="532" t="str">
        <f t="shared" si="255"/>
        <v/>
      </c>
      <c r="CA171" s="532">
        <f t="shared" si="256"/>
        <v>0</v>
      </c>
      <c r="CB171" s="533"/>
      <c r="CC171" s="624">
        <f t="shared" si="257"/>
        <v>0</v>
      </c>
      <c r="CD171" s="534">
        <f t="shared" si="258"/>
        <v>0</v>
      </c>
      <c r="CE171" s="534">
        <f t="shared" si="259"/>
        <v>0</v>
      </c>
      <c r="CF171" s="534">
        <f t="shared" si="260"/>
        <v>0</v>
      </c>
      <c r="CG171" s="534"/>
      <c r="CH171" s="534"/>
      <c r="CI171" s="534">
        <f t="shared" si="276"/>
        <v>0</v>
      </c>
      <c r="CL171" s="534">
        <f>IF(ISNA(VLOOKUP(I171,Veg_Parameters!$A$3:$N$65,13,FALSE)),0,(VLOOKUP(I171,Veg_Parameters!$A$3:$N$65,13,FALSE)))</f>
        <v>0</v>
      </c>
      <c r="CM171" s="534">
        <f t="shared" si="277"/>
        <v>0</v>
      </c>
      <c r="CN171" s="534">
        <f>IF(ISNA(VLOOKUP(N171,Veg_Parameters!$A$3:$N$65,13,FALSE)),0,(VLOOKUP(N171,Veg_Parameters!$A$3:$N$65,13,FALSE)))</f>
        <v>0</v>
      </c>
      <c r="CO171" s="523">
        <f t="shared" si="278"/>
        <v>0</v>
      </c>
    </row>
    <row r="172" spans="1:93" x14ac:dyDescent="0.2">
      <c r="A172" s="227"/>
      <c r="B172" s="171" t="str">
        <f t="shared" si="279"/>
        <v/>
      </c>
      <c r="C172" s="230"/>
      <c r="D172" s="169"/>
      <c r="E172" s="165"/>
      <c r="F172" s="165"/>
      <c r="G172" s="165"/>
      <c r="H172" s="165"/>
      <c r="I172" s="168"/>
      <c r="J172" s="167"/>
      <c r="K172" s="168"/>
      <c r="L172" s="167"/>
      <c r="M172" s="167"/>
      <c r="N172" s="168"/>
      <c r="O172" s="168"/>
      <c r="P172" s="167"/>
      <c r="Q172" s="167"/>
      <c r="R172" s="167"/>
      <c r="S172" s="222" t="str">
        <f>IF(ISBLANK(A172),"",IF(ISNA(VLOOKUP(I172,Veg_Parameters!$A$3:$N$65,3,FALSE)),0,(VLOOKUP(I172,Veg_Parameters!$A$3:$N$65,3,FALSE))))</f>
        <v/>
      </c>
      <c r="T172" s="222" t="str">
        <f>IF(ISBLANK(N172),"",IF(ISNA(VLOOKUP(N172,Veg_Parameters!$A$3:$N$65,3,FALSE)),0,(VLOOKUP(N172,Veg_Parameters!$A$3:$N$65,3,FALSE))))</f>
        <v/>
      </c>
      <c r="U172" s="523">
        <f t="shared" si="261"/>
        <v>0</v>
      </c>
      <c r="V172" s="523">
        <f t="shared" si="237"/>
        <v>0</v>
      </c>
      <c r="W172" s="524">
        <f>IF(ISBLANK(A172),0,IF(ISNA(VLOOKUP($I172,Veg_Parameters!$A$3:$N$65,10,FALSE)),0,(VLOOKUP($I172,Veg_Parameters!$A$3:$N$65,10,FALSE))))</f>
        <v>0</v>
      </c>
      <c r="X172" s="524">
        <f>IF(ISBLANK(A172),0,IF(ISNA(VLOOKUP($I172,Veg_Parameters!$A$3:$N$65,11,FALSE)),0,(VLOOKUP($I172,Veg_Parameters!$A$3:$N$65,11,FALSE))))</f>
        <v>0</v>
      </c>
      <c r="Y172" s="524">
        <f>IF(ISBLANK(A172),0,IF(ISNA(VLOOKUP($I172,Veg_Parameters!$A$3:$N$65,12,FALSE)),0,(VLOOKUP($I172,Veg_Parameters!$A$3:$N$65,12,FALSE))))</f>
        <v>0</v>
      </c>
      <c r="Z172" s="525">
        <f t="shared" si="238"/>
        <v>0</v>
      </c>
      <c r="AA172" s="525">
        <f t="shared" si="239"/>
        <v>0</v>
      </c>
      <c r="AB172" s="525">
        <f t="shared" si="240"/>
        <v>0</v>
      </c>
      <c r="AC172" s="524">
        <f>IF(ISBLANK(N172),0,IF(ISNA(VLOOKUP($N172,Veg_Parameters!$A$3:$N$65,10,FALSE)),0,(VLOOKUP($N172,Veg_Parameters!$A$3:$N$65,10,FALSE))))</f>
        <v>0</v>
      </c>
      <c r="AD172" s="524">
        <f>IF(ISBLANK(N172),0,IF(ISNA(VLOOKUP($N172,Veg_Parameters!$A$3:$N$65,11,FALSE)),0,(VLOOKUP($N172,Veg_Parameters!$A$3:$N$65,11,FALSE))))</f>
        <v>0</v>
      </c>
      <c r="AE172" s="524">
        <f>IF(ISBLANK(N172), 0, IF(ISNA(VLOOKUP($N172,Veg_Parameters!$A$3:$N$65,12,FALSE)),0,(VLOOKUP($N172,Veg_Parameters!$A$3:$N$65,12,FALSE))))</f>
        <v>0</v>
      </c>
      <c r="AF172" s="523">
        <f t="shared" si="241"/>
        <v>0</v>
      </c>
      <c r="AG172" s="523">
        <f t="shared" si="242"/>
        <v>0</v>
      </c>
      <c r="AH172" s="523">
        <f t="shared" si="243"/>
        <v>0</v>
      </c>
      <c r="AI172" s="526"/>
      <c r="AJ172" s="527">
        <f>AB172*(IF(ISNA(VLOOKUP($I172,Veg_Parameters!$A$3:$N$65,5,FALSE)),0,(VLOOKUP($I172,Veg_Parameters!$A$3:$N$65,5,FALSE))))</f>
        <v>0</v>
      </c>
      <c r="AK172" s="527">
        <f>IF(ISNA(VLOOKUP($I172,Veg_Parameters!$A$3:$N$65,4,FALSE)),0,(VLOOKUP($I172,Veg_Parameters!$A$3:$N$65,4,FALSE)))</f>
        <v>0</v>
      </c>
      <c r="AL172" s="527">
        <f>AB172*(IF(ISNA(VLOOKUP($I172,Veg_Parameters!$A$3:$N$65,7,FALSE)),0, (VLOOKUP($I172,Veg_Parameters!$A$3:$N$65,7,FALSE))))</f>
        <v>0</v>
      </c>
      <c r="AM172" s="528">
        <f>IF(ISNA(VLOOKUP($I172,Veg_Parameters!$A$3:$N$65,6,FALSE)), 0, (VLOOKUP($I172,Veg_Parameters!$A$3:$N$65,6,FALSE)))</f>
        <v>0</v>
      </c>
      <c r="AN172" s="529">
        <f t="shared" si="244"/>
        <v>20</v>
      </c>
      <c r="AO172" s="529">
        <f t="shared" si="245"/>
        <v>0</v>
      </c>
      <c r="AP172" s="529">
        <f t="shared" si="246"/>
        <v>0</v>
      </c>
      <c r="AQ172" s="530">
        <f t="shared" si="262"/>
        <v>0</v>
      </c>
      <c r="AR172" s="527" t="s">
        <v>3</v>
      </c>
      <c r="AS172" s="527">
        <f>IF(ISNA(VLOOKUP($I172,Veg_Parameters!$A$3:$N$65,8,FALSE)), 0, (VLOOKUP($I172,Veg_Parameters!$A$3:$N$65,8,FALSE)))</f>
        <v>0</v>
      </c>
      <c r="AT172" s="527">
        <f>AB172*(IF(ISNA(VLOOKUP($I172,Veg_Parameters!$A$3:$N$65,9,FALSE)), 0, (VLOOKUP($I172,Veg_Parameters!$A$3:$N$65,9,FALSE))))</f>
        <v>0</v>
      </c>
      <c r="AU172" s="527">
        <f>IF(ISBLANK(A172),0,VLOOKUP($I172,Veg_Parameters!$A$4:$U$65,21,))</f>
        <v>0</v>
      </c>
      <c r="AV172" s="527">
        <f t="shared" si="263"/>
        <v>0</v>
      </c>
      <c r="AW172" s="529">
        <f t="shared" si="264"/>
        <v>0</v>
      </c>
      <c r="AX172" s="529">
        <f t="shared" si="265"/>
        <v>0</v>
      </c>
      <c r="AY172" s="529">
        <f t="shared" si="247"/>
        <v>0</v>
      </c>
      <c r="AZ172" s="529">
        <f t="shared" si="266"/>
        <v>0</v>
      </c>
      <c r="BA172" s="529">
        <f t="shared" si="267"/>
        <v>0</v>
      </c>
      <c r="BB172" s="529">
        <f t="shared" si="268"/>
        <v>0</v>
      </c>
      <c r="BC172" s="529">
        <f t="shared" si="248"/>
        <v>0</v>
      </c>
      <c r="BD172" s="531"/>
      <c r="BE172" s="527">
        <f>AH172*(IF(ISNA(VLOOKUP($N172,Veg_Parameters!$A$3:$N$65,5,FALSE)),0,(VLOOKUP($N172,Veg_Parameters!$A$3:$N$65,5,FALSE))))</f>
        <v>0</v>
      </c>
      <c r="BF172" s="527">
        <f>IF(ISNA(VLOOKUP($N172,Veg_Parameters!$A$3:$N$65,4,FALSE)),0,(VLOOKUP($N172,Veg_Parameters!$A$3:$N$65,4,FALSE)))</f>
        <v>0</v>
      </c>
      <c r="BG172" s="527">
        <f>AH172*(IF(ISNA(VLOOKUP($N172,Veg_Parameters!$A$3:$N$65,7,FALSE)),0, (VLOOKUP($N172,Veg_Parameters!$A$3:$N$65,7,FALSE))))</f>
        <v>0</v>
      </c>
      <c r="BH172" s="527">
        <f>IF(ISNA(VLOOKUP($N172,Veg_Parameters!$A$3:$N$65,6,FALSE)), 0, (VLOOKUP($N172,Veg_Parameters!$A$3:$N$65,6,FALSE)))</f>
        <v>0</v>
      </c>
      <c r="BI172" s="529">
        <f t="shared" si="249"/>
        <v>20</v>
      </c>
      <c r="BJ172" s="529">
        <f t="shared" si="269"/>
        <v>0</v>
      </c>
      <c r="BK172" s="529">
        <f t="shared" si="250"/>
        <v>0</v>
      </c>
      <c r="BL172" s="530">
        <f t="shared" si="270"/>
        <v>0</v>
      </c>
      <c r="BM172" s="527" t="s">
        <v>3</v>
      </c>
      <c r="BN172" s="527">
        <f>IF(ISNA(VLOOKUP(N172,Veg_Parameters!$A$3:$N$65,8,FALSE)), 0, (VLOOKUP($N172,Veg_Parameters!$A$3:$N$65,8,FALSE)))</f>
        <v>0</v>
      </c>
      <c r="BO172" s="527">
        <f>AH172*(IF(ISNA(VLOOKUP($N172,Veg_Parameters!$A$3:$N$65,9,FALSE)), 0, (VLOOKUP($N172,Veg_Parameters!$A$3:$N$65,9,FALSE))))</f>
        <v>0</v>
      </c>
      <c r="BP172" s="527" t="str">
        <f>IF(ISBLANK(N172),"0",VLOOKUP($N172,Veg_Parameters!$A$4:$U$65,21,))</f>
        <v>0</v>
      </c>
      <c r="BQ172" s="529">
        <f t="shared" si="271"/>
        <v>0</v>
      </c>
      <c r="BR172" s="529">
        <f t="shared" si="272"/>
        <v>0</v>
      </c>
      <c r="BS172" s="529">
        <f t="shared" si="251"/>
        <v>0</v>
      </c>
      <c r="BT172" s="529">
        <f t="shared" si="273"/>
        <v>0</v>
      </c>
      <c r="BU172" s="529">
        <f t="shared" si="274"/>
        <v>0</v>
      </c>
      <c r="BV172" s="529">
        <f t="shared" si="275"/>
        <v>0</v>
      </c>
      <c r="BW172" s="532" t="str">
        <f t="shared" si="252"/>
        <v/>
      </c>
      <c r="BX172" s="532" t="str">
        <f t="shared" si="253"/>
        <v/>
      </c>
      <c r="BY172" s="532" t="str">
        <f t="shared" si="254"/>
        <v/>
      </c>
      <c r="BZ172" s="532" t="str">
        <f t="shared" si="255"/>
        <v/>
      </c>
      <c r="CA172" s="532">
        <f t="shared" si="256"/>
        <v>0</v>
      </c>
      <c r="CB172" s="533"/>
      <c r="CC172" s="624">
        <f t="shared" si="257"/>
        <v>0</v>
      </c>
      <c r="CD172" s="534">
        <f t="shared" si="258"/>
        <v>0</v>
      </c>
      <c r="CE172" s="534">
        <f t="shared" si="259"/>
        <v>0</v>
      </c>
      <c r="CF172" s="534">
        <f t="shared" si="260"/>
        <v>0</v>
      </c>
      <c r="CG172" s="534"/>
      <c r="CH172" s="534"/>
      <c r="CI172" s="534">
        <f t="shared" si="276"/>
        <v>0</v>
      </c>
      <c r="CL172" s="534">
        <f>IF(ISNA(VLOOKUP(I172,Veg_Parameters!$A$3:$N$65,13,FALSE)),0,(VLOOKUP(I172,Veg_Parameters!$A$3:$N$65,13,FALSE)))</f>
        <v>0</v>
      </c>
      <c r="CM172" s="534">
        <f t="shared" si="277"/>
        <v>0</v>
      </c>
      <c r="CN172" s="534">
        <f>IF(ISNA(VLOOKUP(N172,Veg_Parameters!$A$3:$N$65,13,FALSE)),0,(VLOOKUP(N172,Veg_Parameters!$A$3:$N$65,13,FALSE)))</f>
        <v>0</v>
      </c>
      <c r="CO172" s="523">
        <f t="shared" si="278"/>
        <v>0</v>
      </c>
    </row>
    <row r="173" spans="1:93" x14ac:dyDescent="0.2">
      <c r="A173" s="227"/>
      <c r="B173" s="171" t="str">
        <f t="shared" si="279"/>
        <v/>
      </c>
      <c r="C173" s="230"/>
      <c r="D173" s="169"/>
      <c r="E173" s="165"/>
      <c r="F173" s="165"/>
      <c r="G173" s="165"/>
      <c r="H173" s="165"/>
      <c r="I173" s="168"/>
      <c r="J173" s="167"/>
      <c r="K173" s="168"/>
      <c r="L173" s="167"/>
      <c r="M173" s="167"/>
      <c r="N173" s="168"/>
      <c r="O173" s="168"/>
      <c r="P173" s="167"/>
      <c r="Q173" s="167"/>
      <c r="R173" s="167"/>
      <c r="S173" s="222" t="str">
        <f>IF(ISBLANK(A173),"",IF(ISNA(VLOOKUP(I173,Veg_Parameters!$A$3:$N$65,3,FALSE)),0,(VLOOKUP(I173,Veg_Parameters!$A$3:$N$65,3,FALSE))))</f>
        <v/>
      </c>
      <c r="T173" s="222" t="str">
        <f>IF(ISBLANK(N173),"",IF(ISNA(VLOOKUP(N173,Veg_Parameters!$A$3:$N$65,3,FALSE)),0,(VLOOKUP(N173,Veg_Parameters!$A$3:$N$65,3,FALSE))))</f>
        <v/>
      </c>
      <c r="U173" s="523">
        <f t="shared" si="261"/>
        <v>0</v>
      </c>
      <c r="V173" s="523">
        <f t="shared" si="237"/>
        <v>0</v>
      </c>
      <c r="W173" s="524">
        <f>IF(ISBLANK(A173),0,IF(ISNA(VLOOKUP($I173,Veg_Parameters!$A$3:$N$65,10,FALSE)),0,(VLOOKUP($I173,Veg_Parameters!$A$3:$N$65,10,FALSE))))</f>
        <v>0</v>
      </c>
      <c r="X173" s="524">
        <f>IF(ISBLANK(A173),0,IF(ISNA(VLOOKUP($I173,Veg_Parameters!$A$3:$N$65,11,FALSE)),0,(VLOOKUP($I173,Veg_Parameters!$A$3:$N$65,11,FALSE))))</f>
        <v>0</v>
      </c>
      <c r="Y173" s="524">
        <f>IF(ISBLANK(A173),0,IF(ISNA(VLOOKUP($I173,Veg_Parameters!$A$3:$N$65,12,FALSE)),0,(VLOOKUP($I173,Veg_Parameters!$A$3:$N$65,12,FALSE))))</f>
        <v>0</v>
      </c>
      <c r="Z173" s="525">
        <f t="shared" si="238"/>
        <v>0</v>
      </c>
      <c r="AA173" s="525">
        <f t="shared" si="239"/>
        <v>0</v>
      </c>
      <c r="AB173" s="525">
        <f t="shared" si="240"/>
        <v>0</v>
      </c>
      <c r="AC173" s="524">
        <f>IF(ISBLANK(N173),0,IF(ISNA(VLOOKUP($N173,Veg_Parameters!$A$3:$N$65,10,FALSE)),0,(VLOOKUP($N173,Veg_Parameters!$A$3:$N$65,10,FALSE))))</f>
        <v>0</v>
      </c>
      <c r="AD173" s="524">
        <f>IF(ISBLANK(N173),0,IF(ISNA(VLOOKUP($N173,Veg_Parameters!$A$3:$N$65,11,FALSE)),0,(VLOOKUP($N173,Veg_Parameters!$A$3:$N$65,11,FALSE))))</f>
        <v>0</v>
      </c>
      <c r="AE173" s="524">
        <f>IF(ISBLANK(N173), 0, IF(ISNA(VLOOKUP($N173,Veg_Parameters!$A$3:$N$65,12,FALSE)),0,(VLOOKUP($N173,Veg_Parameters!$A$3:$N$65,12,FALSE))))</f>
        <v>0</v>
      </c>
      <c r="AF173" s="523">
        <f t="shared" si="241"/>
        <v>0</v>
      </c>
      <c r="AG173" s="523">
        <f t="shared" si="242"/>
        <v>0</v>
      </c>
      <c r="AH173" s="523">
        <f t="shared" si="243"/>
        <v>0</v>
      </c>
      <c r="AI173" s="526"/>
      <c r="AJ173" s="527">
        <f>AB173*(IF(ISNA(VLOOKUP($I173,Veg_Parameters!$A$3:$N$65,5,FALSE)),0,(VLOOKUP($I173,Veg_Parameters!$A$3:$N$65,5,FALSE))))</f>
        <v>0</v>
      </c>
      <c r="AK173" s="527">
        <f>IF(ISNA(VLOOKUP($I173,Veg_Parameters!$A$3:$N$65,4,FALSE)),0,(VLOOKUP($I173,Veg_Parameters!$A$3:$N$65,4,FALSE)))</f>
        <v>0</v>
      </c>
      <c r="AL173" s="527">
        <f>AB173*(IF(ISNA(VLOOKUP($I173,Veg_Parameters!$A$3:$N$65,7,FALSE)),0, (VLOOKUP($I173,Veg_Parameters!$A$3:$N$65,7,FALSE))))</f>
        <v>0</v>
      </c>
      <c r="AM173" s="528">
        <f>IF(ISNA(VLOOKUP($I173,Veg_Parameters!$A$3:$N$65,6,FALSE)), 0, (VLOOKUP($I173,Veg_Parameters!$A$3:$N$65,6,FALSE)))</f>
        <v>0</v>
      </c>
      <c r="AN173" s="529">
        <f t="shared" si="244"/>
        <v>20</v>
      </c>
      <c r="AO173" s="529">
        <f t="shared" si="245"/>
        <v>0</v>
      </c>
      <c r="AP173" s="529">
        <f t="shared" si="246"/>
        <v>0</v>
      </c>
      <c r="AQ173" s="530">
        <f t="shared" si="262"/>
        <v>0</v>
      </c>
      <c r="AR173" s="527" t="s">
        <v>3</v>
      </c>
      <c r="AS173" s="527">
        <f>IF(ISNA(VLOOKUP($I173,Veg_Parameters!$A$3:$N$65,8,FALSE)), 0, (VLOOKUP($I173,Veg_Parameters!$A$3:$N$65,8,FALSE)))</f>
        <v>0</v>
      </c>
      <c r="AT173" s="527">
        <f>AB173*(IF(ISNA(VLOOKUP($I173,Veg_Parameters!$A$3:$N$65,9,FALSE)), 0, (VLOOKUP($I173,Veg_Parameters!$A$3:$N$65,9,FALSE))))</f>
        <v>0</v>
      </c>
      <c r="AU173" s="527">
        <f>IF(ISBLANK(A173),0,VLOOKUP($I173,Veg_Parameters!$A$4:$U$65,21,))</f>
        <v>0</v>
      </c>
      <c r="AV173" s="527">
        <f t="shared" si="263"/>
        <v>0</v>
      </c>
      <c r="AW173" s="529">
        <f t="shared" si="264"/>
        <v>0</v>
      </c>
      <c r="AX173" s="529">
        <f t="shared" si="265"/>
        <v>0</v>
      </c>
      <c r="AY173" s="529">
        <f t="shared" si="247"/>
        <v>0</v>
      </c>
      <c r="AZ173" s="529">
        <f t="shared" si="266"/>
        <v>0</v>
      </c>
      <c r="BA173" s="529">
        <f t="shared" si="267"/>
        <v>0</v>
      </c>
      <c r="BB173" s="529">
        <f t="shared" si="268"/>
        <v>0</v>
      </c>
      <c r="BC173" s="529">
        <f t="shared" si="248"/>
        <v>0</v>
      </c>
      <c r="BD173" s="531"/>
      <c r="BE173" s="527">
        <f>AH173*(IF(ISNA(VLOOKUP($N173,Veg_Parameters!$A$3:$N$65,5,FALSE)),0,(VLOOKUP($N173,Veg_Parameters!$A$3:$N$65,5,FALSE))))</f>
        <v>0</v>
      </c>
      <c r="BF173" s="527">
        <f>IF(ISNA(VLOOKUP($N173,Veg_Parameters!$A$3:$N$65,4,FALSE)),0,(VLOOKUP($N173,Veg_Parameters!$A$3:$N$65,4,FALSE)))</f>
        <v>0</v>
      </c>
      <c r="BG173" s="527">
        <f>AH173*(IF(ISNA(VLOOKUP($N173,Veg_Parameters!$A$3:$N$65,7,FALSE)),0, (VLOOKUP($N173,Veg_Parameters!$A$3:$N$65,7,FALSE))))</f>
        <v>0</v>
      </c>
      <c r="BH173" s="527">
        <f>IF(ISNA(VLOOKUP($N173,Veg_Parameters!$A$3:$N$65,6,FALSE)), 0, (VLOOKUP($N173,Veg_Parameters!$A$3:$N$65,6,FALSE)))</f>
        <v>0</v>
      </c>
      <c r="BI173" s="529">
        <f t="shared" si="249"/>
        <v>20</v>
      </c>
      <c r="BJ173" s="529">
        <f t="shared" si="269"/>
        <v>0</v>
      </c>
      <c r="BK173" s="529">
        <f t="shared" si="250"/>
        <v>0</v>
      </c>
      <c r="BL173" s="530">
        <f t="shared" si="270"/>
        <v>0</v>
      </c>
      <c r="BM173" s="527" t="s">
        <v>3</v>
      </c>
      <c r="BN173" s="527">
        <f>IF(ISNA(VLOOKUP(N173,Veg_Parameters!$A$3:$N$65,8,FALSE)), 0, (VLOOKUP($N173,Veg_Parameters!$A$3:$N$65,8,FALSE)))</f>
        <v>0</v>
      </c>
      <c r="BO173" s="527">
        <f>AH173*(IF(ISNA(VLOOKUP($N173,Veg_Parameters!$A$3:$N$65,9,FALSE)), 0, (VLOOKUP($N173,Veg_Parameters!$A$3:$N$65,9,FALSE))))</f>
        <v>0</v>
      </c>
      <c r="BP173" s="527" t="str">
        <f>IF(ISBLANK(N173),"0",VLOOKUP($N173,Veg_Parameters!$A$4:$U$65,21,))</f>
        <v>0</v>
      </c>
      <c r="BQ173" s="529">
        <f t="shared" si="271"/>
        <v>0</v>
      </c>
      <c r="BR173" s="529">
        <f t="shared" si="272"/>
        <v>0</v>
      </c>
      <c r="BS173" s="529">
        <f t="shared" si="251"/>
        <v>0</v>
      </c>
      <c r="BT173" s="529">
        <f t="shared" si="273"/>
        <v>0</v>
      </c>
      <c r="BU173" s="529">
        <f t="shared" si="274"/>
        <v>0</v>
      </c>
      <c r="BV173" s="529">
        <f t="shared" si="275"/>
        <v>0</v>
      </c>
      <c r="BW173" s="532" t="str">
        <f t="shared" si="252"/>
        <v/>
      </c>
      <c r="BX173" s="532" t="str">
        <f t="shared" si="253"/>
        <v/>
      </c>
      <c r="BY173" s="532" t="str">
        <f t="shared" si="254"/>
        <v/>
      </c>
      <c r="BZ173" s="532" t="str">
        <f t="shared" si="255"/>
        <v/>
      </c>
      <c r="CA173" s="532">
        <f t="shared" si="256"/>
        <v>0</v>
      </c>
      <c r="CB173" s="533"/>
      <c r="CC173" s="624">
        <f t="shared" si="257"/>
        <v>0</v>
      </c>
      <c r="CD173" s="534">
        <f t="shared" si="258"/>
        <v>0</v>
      </c>
      <c r="CE173" s="534">
        <f t="shared" si="259"/>
        <v>0</v>
      </c>
      <c r="CF173" s="534">
        <f t="shared" si="260"/>
        <v>0</v>
      </c>
      <c r="CG173" s="534"/>
      <c r="CH173" s="534"/>
      <c r="CI173" s="534">
        <f t="shared" si="276"/>
        <v>0</v>
      </c>
      <c r="CL173" s="534">
        <f>IF(ISNA(VLOOKUP(I173,Veg_Parameters!$A$3:$N$65,13,FALSE)),0,(VLOOKUP(I173,Veg_Parameters!$A$3:$N$65,13,FALSE)))</f>
        <v>0</v>
      </c>
      <c r="CM173" s="534">
        <f t="shared" si="277"/>
        <v>0</v>
      </c>
      <c r="CN173" s="534">
        <f>IF(ISNA(VLOOKUP(N173,Veg_Parameters!$A$3:$N$65,13,FALSE)),0,(VLOOKUP(N173,Veg_Parameters!$A$3:$N$65,13,FALSE)))</f>
        <v>0</v>
      </c>
      <c r="CO173" s="523">
        <f t="shared" si="278"/>
        <v>0</v>
      </c>
    </row>
    <row r="174" spans="1:93" x14ac:dyDescent="0.2">
      <c r="A174" s="227"/>
      <c r="B174" s="171" t="str">
        <f t="shared" si="279"/>
        <v/>
      </c>
      <c r="C174" s="292"/>
      <c r="D174" s="234"/>
      <c r="E174" s="165"/>
      <c r="F174" s="165"/>
      <c r="G174" s="165"/>
      <c r="H174" s="165"/>
      <c r="I174" s="168"/>
      <c r="J174" s="167"/>
      <c r="K174" s="168"/>
      <c r="L174" s="167"/>
      <c r="M174" s="167"/>
      <c r="N174" s="168"/>
      <c r="O174" s="168"/>
      <c r="P174" s="167"/>
      <c r="Q174" s="167"/>
      <c r="R174" s="167"/>
      <c r="S174" s="222" t="str">
        <f>IF(ISBLANK(A174),"",IF(ISNA(VLOOKUP(I174,Veg_Parameters!$A$3:$N$65,3,FALSE)),0,(VLOOKUP(I174,Veg_Parameters!$A$3:$N$65,3,FALSE))))</f>
        <v/>
      </c>
      <c r="T174" s="222" t="str">
        <f>IF(ISBLANK(N174),"",IF(ISNA(VLOOKUP(N174,Veg_Parameters!$A$3:$N$65,3,FALSE)),0,(VLOOKUP(N174,Veg_Parameters!$A$3:$N$65,3,FALSE))))</f>
        <v/>
      </c>
      <c r="U174" s="523">
        <f t="shared" si="261"/>
        <v>0</v>
      </c>
      <c r="V174" s="523">
        <f t="shared" si="237"/>
        <v>0</v>
      </c>
      <c r="W174" s="524">
        <f>IF(ISBLANK(A174),0,IF(ISNA(VLOOKUP($I174,Veg_Parameters!$A$3:$N$65,10,FALSE)),0,(VLOOKUP($I174,Veg_Parameters!$A$3:$N$65,10,FALSE))))</f>
        <v>0</v>
      </c>
      <c r="X174" s="524">
        <f>IF(ISBLANK(A174),0,IF(ISNA(VLOOKUP($I174,Veg_Parameters!$A$3:$N$65,11,FALSE)),0,(VLOOKUP($I174,Veg_Parameters!$A$3:$N$65,11,FALSE))))</f>
        <v>0</v>
      </c>
      <c r="Y174" s="524">
        <f>IF(ISBLANK(A174),0,IF(ISNA(VLOOKUP($I174,Veg_Parameters!$A$3:$N$65,12,FALSE)),0,(VLOOKUP($I174,Veg_Parameters!$A$3:$N$65,12,FALSE))))</f>
        <v>0</v>
      </c>
      <c r="Z174" s="525">
        <f t="shared" si="238"/>
        <v>0</v>
      </c>
      <c r="AA174" s="525">
        <f t="shared" si="239"/>
        <v>0</v>
      </c>
      <c r="AB174" s="525">
        <f t="shared" si="240"/>
        <v>0</v>
      </c>
      <c r="AC174" s="524">
        <f>IF(ISBLANK(N174),0,IF(ISNA(VLOOKUP($N174,Veg_Parameters!$A$3:$N$65,10,FALSE)),0,(VLOOKUP($N174,Veg_Parameters!$A$3:$N$65,10,FALSE))))</f>
        <v>0</v>
      </c>
      <c r="AD174" s="524">
        <f>IF(ISBLANK(N174),0,IF(ISNA(VLOOKUP($N174,Veg_Parameters!$A$3:$N$65,11,FALSE)),0,(VLOOKUP($N174,Veg_Parameters!$A$3:$N$65,11,FALSE))))</f>
        <v>0</v>
      </c>
      <c r="AE174" s="524">
        <f>IF(ISBLANK(N174), 0, IF(ISNA(VLOOKUP($N174,Veg_Parameters!$A$3:$N$65,12,FALSE)),0,(VLOOKUP($N174,Veg_Parameters!$A$3:$N$65,12,FALSE))))</f>
        <v>0</v>
      </c>
      <c r="AF174" s="523">
        <f t="shared" si="241"/>
        <v>0</v>
      </c>
      <c r="AG174" s="523">
        <f t="shared" si="242"/>
        <v>0</v>
      </c>
      <c r="AH174" s="523">
        <f t="shared" si="243"/>
        <v>0</v>
      </c>
      <c r="AI174" s="526"/>
      <c r="AJ174" s="527">
        <f>AB174*(IF(ISNA(VLOOKUP($I174,Veg_Parameters!$A$3:$N$65,5,FALSE)),0,(VLOOKUP($I174,Veg_Parameters!$A$3:$N$65,5,FALSE))))</f>
        <v>0</v>
      </c>
      <c r="AK174" s="527">
        <f>IF(ISNA(VLOOKUP($I174,Veg_Parameters!$A$3:$N$65,4,FALSE)),0,(VLOOKUP($I174,Veg_Parameters!$A$3:$N$65,4,FALSE)))</f>
        <v>0</v>
      </c>
      <c r="AL174" s="527">
        <f>AB174*(IF(ISNA(VLOOKUP($I174,Veg_Parameters!$A$3:$N$65,7,FALSE)),0, (VLOOKUP($I174,Veg_Parameters!$A$3:$N$65,7,FALSE))))</f>
        <v>0</v>
      </c>
      <c r="AM174" s="528">
        <f>IF(ISNA(VLOOKUP($I174,Veg_Parameters!$A$3:$N$65,6,FALSE)), 0, (VLOOKUP($I174,Veg_Parameters!$A$3:$N$65,6,FALSE)))</f>
        <v>0</v>
      </c>
      <c r="AN174" s="529">
        <f t="shared" si="244"/>
        <v>20</v>
      </c>
      <c r="AO174" s="529">
        <f t="shared" si="245"/>
        <v>0</v>
      </c>
      <c r="AP174" s="529">
        <f t="shared" si="246"/>
        <v>0</v>
      </c>
      <c r="AQ174" s="530">
        <f t="shared" si="262"/>
        <v>0</v>
      </c>
      <c r="AR174" s="527" t="s">
        <v>3</v>
      </c>
      <c r="AS174" s="527">
        <f>IF(ISNA(VLOOKUP($I174,Veg_Parameters!$A$3:$N$65,8,FALSE)), 0, (VLOOKUP($I174,Veg_Parameters!$A$3:$N$65,8,FALSE)))</f>
        <v>0</v>
      </c>
      <c r="AT174" s="527">
        <f>AB174*(IF(ISNA(VLOOKUP($I174,Veg_Parameters!$A$3:$N$65,9,FALSE)), 0, (VLOOKUP($I174,Veg_Parameters!$A$3:$N$65,9,FALSE))))</f>
        <v>0</v>
      </c>
      <c r="AU174" s="527">
        <f>IF(ISBLANK(A174),0,VLOOKUP($I174,Veg_Parameters!$A$4:$U$65,21,))</f>
        <v>0</v>
      </c>
      <c r="AV174" s="527">
        <f t="shared" si="263"/>
        <v>0</v>
      </c>
      <c r="AW174" s="529">
        <f t="shared" si="264"/>
        <v>0</v>
      </c>
      <c r="AX174" s="529">
        <f t="shared" si="265"/>
        <v>0</v>
      </c>
      <c r="AY174" s="529">
        <f t="shared" si="247"/>
        <v>0</v>
      </c>
      <c r="AZ174" s="529">
        <f t="shared" si="266"/>
        <v>0</v>
      </c>
      <c r="BA174" s="529">
        <f t="shared" si="267"/>
        <v>0</v>
      </c>
      <c r="BB174" s="529">
        <f t="shared" si="268"/>
        <v>0</v>
      </c>
      <c r="BC174" s="529">
        <f t="shared" si="248"/>
        <v>0</v>
      </c>
      <c r="BD174" s="531"/>
      <c r="BE174" s="527">
        <f>AH174*(IF(ISNA(VLOOKUP($N174,Veg_Parameters!$A$3:$N$65,5,FALSE)),0,(VLOOKUP($N174,Veg_Parameters!$A$3:$N$65,5,FALSE))))</f>
        <v>0</v>
      </c>
      <c r="BF174" s="527">
        <f>IF(ISNA(VLOOKUP($N174,Veg_Parameters!$A$3:$N$65,4,FALSE)),0,(VLOOKUP($N174,Veg_Parameters!$A$3:$N$65,4,FALSE)))</f>
        <v>0</v>
      </c>
      <c r="BG174" s="527">
        <f>AH174*(IF(ISNA(VLOOKUP($N174,Veg_Parameters!$A$3:$N$65,7,FALSE)),0, (VLOOKUP($N174,Veg_Parameters!$A$3:$N$65,7,FALSE))))</f>
        <v>0</v>
      </c>
      <c r="BH174" s="527">
        <f>IF(ISNA(VLOOKUP($N174,Veg_Parameters!$A$3:$N$65,6,FALSE)), 0, (VLOOKUP($N174,Veg_Parameters!$A$3:$N$65,6,FALSE)))</f>
        <v>0</v>
      </c>
      <c r="BI174" s="529">
        <f t="shared" si="249"/>
        <v>20</v>
      </c>
      <c r="BJ174" s="529">
        <f t="shared" si="269"/>
        <v>0</v>
      </c>
      <c r="BK174" s="529">
        <f t="shared" si="250"/>
        <v>0</v>
      </c>
      <c r="BL174" s="530">
        <f t="shared" si="270"/>
        <v>0</v>
      </c>
      <c r="BM174" s="527" t="s">
        <v>3</v>
      </c>
      <c r="BN174" s="527">
        <f>IF(ISNA(VLOOKUP(N174,Veg_Parameters!$A$3:$N$65,8,FALSE)), 0, (VLOOKUP($N174,Veg_Parameters!$A$3:$N$65,8,FALSE)))</f>
        <v>0</v>
      </c>
      <c r="BO174" s="527">
        <f>AH174*(IF(ISNA(VLOOKUP($N174,Veg_Parameters!$A$3:$N$65,9,FALSE)), 0, (VLOOKUP($N174,Veg_Parameters!$A$3:$N$65,9,FALSE))))</f>
        <v>0</v>
      </c>
      <c r="BP174" s="527" t="str">
        <f>IF(ISBLANK(N174),"0",VLOOKUP($N174,Veg_Parameters!$A$4:$U$65,21,))</f>
        <v>0</v>
      </c>
      <c r="BQ174" s="529">
        <f t="shared" si="271"/>
        <v>0</v>
      </c>
      <c r="BR174" s="529">
        <f t="shared" si="272"/>
        <v>0</v>
      </c>
      <c r="BS174" s="529">
        <f t="shared" si="251"/>
        <v>0</v>
      </c>
      <c r="BT174" s="529">
        <f t="shared" si="273"/>
        <v>0</v>
      </c>
      <c r="BU174" s="529">
        <f t="shared" si="274"/>
        <v>0</v>
      </c>
      <c r="BV174" s="529">
        <f t="shared" si="275"/>
        <v>0</v>
      </c>
      <c r="BW174" s="532" t="str">
        <f t="shared" si="252"/>
        <v/>
      </c>
      <c r="BX174" s="532" t="str">
        <f t="shared" si="253"/>
        <v/>
      </c>
      <c r="BY174" s="532" t="str">
        <f t="shared" si="254"/>
        <v/>
      </c>
      <c r="BZ174" s="532" t="str">
        <f t="shared" si="255"/>
        <v/>
      </c>
      <c r="CA174" s="532">
        <f t="shared" si="256"/>
        <v>0</v>
      </c>
      <c r="CB174" s="533"/>
      <c r="CC174" s="624">
        <f t="shared" si="257"/>
        <v>0</v>
      </c>
      <c r="CD174" s="534">
        <f t="shared" si="258"/>
        <v>0</v>
      </c>
      <c r="CE174" s="534">
        <f t="shared" si="259"/>
        <v>0</v>
      </c>
      <c r="CF174" s="534">
        <f t="shared" si="260"/>
        <v>0</v>
      </c>
      <c r="CG174" s="534"/>
      <c r="CH174" s="534"/>
      <c r="CI174" s="534">
        <f t="shared" si="276"/>
        <v>0</v>
      </c>
      <c r="CL174" s="534">
        <f>IF(ISNA(VLOOKUP(I174,Veg_Parameters!$A$3:$N$65,13,FALSE)),0,(VLOOKUP(I174,Veg_Parameters!$A$3:$N$65,13,FALSE)))</f>
        <v>0</v>
      </c>
      <c r="CM174" s="534">
        <f t="shared" si="277"/>
        <v>0</v>
      </c>
      <c r="CN174" s="534">
        <f>IF(ISNA(VLOOKUP(N174,Veg_Parameters!$A$3:$N$65,13,FALSE)),0,(VLOOKUP(N174,Veg_Parameters!$A$3:$N$65,13,FALSE)))</f>
        <v>0</v>
      </c>
      <c r="CO174" s="523">
        <f t="shared" si="278"/>
        <v>0</v>
      </c>
    </row>
    <row r="175" spans="1:93" x14ac:dyDescent="0.2">
      <c r="A175" s="227"/>
      <c r="B175" s="171" t="str">
        <f t="shared" si="279"/>
        <v/>
      </c>
      <c r="C175" s="230"/>
      <c r="D175" s="169"/>
      <c r="E175" s="165"/>
      <c r="F175" s="165"/>
      <c r="G175" s="165"/>
      <c r="H175" s="165"/>
      <c r="I175" s="168"/>
      <c r="J175" s="167"/>
      <c r="K175" s="168"/>
      <c r="L175" s="167"/>
      <c r="M175" s="167"/>
      <c r="N175" s="168"/>
      <c r="O175" s="168"/>
      <c r="P175" s="167"/>
      <c r="Q175" s="167"/>
      <c r="R175" s="167"/>
      <c r="S175" s="222" t="str">
        <f>IF(ISBLANK(A175),"",IF(ISNA(VLOOKUP(I175,Veg_Parameters!$A$3:$N$65,3,FALSE)),0,(VLOOKUP(I175,Veg_Parameters!$A$3:$N$65,3,FALSE))))</f>
        <v/>
      </c>
      <c r="T175" s="222" t="str">
        <f>IF(ISBLANK(N175),"",IF(ISNA(VLOOKUP(N175,Veg_Parameters!$A$3:$N$65,3,FALSE)),0,(VLOOKUP(N175,Veg_Parameters!$A$3:$N$65,3,FALSE))))</f>
        <v/>
      </c>
      <c r="U175" s="523">
        <f t="shared" si="261"/>
        <v>0</v>
      </c>
      <c r="V175" s="523">
        <f t="shared" si="237"/>
        <v>0</v>
      </c>
      <c r="W175" s="524">
        <f>IF(ISBLANK(A175),0,IF(ISNA(VLOOKUP($I175,Veg_Parameters!$A$3:$N$65,10,FALSE)),0,(VLOOKUP($I175,Veg_Parameters!$A$3:$N$65,10,FALSE))))</f>
        <v>0</v>
      </c>
      <c r="X175" s="524">
        <f>IF(ISBLANK(A175),0,IF(ISNA(VLOOKUP($I175,Veg_Parameters!$A$3:$N$65,11,FALSE)),0,(VLOOKUP($I175,Veg_Parameters!$A$3:$N$65,11,FALSE))))</f>
        <v>0</v>
      </c>
      <c r="Y175" s="524">
        <f>IF(ISBLANK(A175),0,IF(ISNA(VLOOKUP($I175,Veg_Parameters!$A$3:$N$65,12,FALSE)),0,(VLOOKUP($I175,Veg_Parameters!$A$3:$N$65,12,FALSE))))</f>
        <v>0</v>
      </c>
      <c r="Z175" s="525">
        <f t="shared" si="238"/>
        <v>0</v>
      </c>
      <c r="AA175" s="525">
        <f t="shared" si="239"/>
        <v>0</v>
      </c>
      <c r="AB175" s="525">
        <f t="shared" si="240"/>
        <v>0</v>
      </c>
      <c r="AC175" s="524">
        <f>IF(ISBLANK(N175),0,IF(ISNA(VLOOKUP($N175,Veg_Parameters!$A$3:$N$65,10,FALSE)),0,(VLOOKUP($N175,Veg_Parameters!$A$3:$N$65,10,FALSE))))</f>
        <v>0</v>
      </c>
      <c r="AD175" s="524">
        <f>IF(ISBLANK(N175),0,IF(ISNA(VLOOKUP($N175,Veg_Parameters!$A$3:$N$65,11,FALSE)),0,(VLOOKUP($N175,Veg_Parameters!$A$3:$N$65,11,FALSE))))</f>
        <v>0</v>
      </c>
      <c r="AE175" s="524">
        <f>IF(ISBLANK(N175), 0, IF(ISNA(VLOOKUP($N175,Veg_Parameters!$A$3:$N$65,12,FALSE)),0,(VLOOKUP($N175,Veg_Parameters!$A$3:$N$65,12,FALSE))))</f>
        <v>0</v>
      </c>
      <c r="AF175" s="523">
        <f t="shared" si="241"/>
        <v>0</v>
      </c>
      <c r="AG175" s="523">
        <f t="shared" si="242"/>
        <v>0</v>
      </c>
      <c r="AH175" s="523">
        <f t="shared" si="243"/>
        <v>0</v>
      </c>
      <c r="AI175" s="526"/>
      <c r="AJ175" s="527">
        <f>AB175*(IF(ISNA(VLOOKUP($I175,Veg_Parameters!$A$3:$N$65,5,FALSE)),0,(VLOOKUP($I175,Veg_Parameters!$A$3:$N$65,5,FALSE))))</f>
        <v>0</v>
      </c>
      <c r="AK175" s="527">
        <f>IF(ISNA(VLOOKUP($I175,Veg_Parameters!$A$3:$N$65,4,FALSE)),0,(VLOOKUP($I175,Veg_Parameters!$A$3:$N$65,4,FALSE)))</f>
        <v>0</v>
      </c>
      <c r="AL175" s="527">
        <f>AB175*(IF(ISNA(VLOOKUP($I175,Veg_Parameters!$A$3:$N$65,7,FALSE)),0, (VLOOKUP($I175,Veg_Parameters!$A$3:$N$65,7,FALSE))))</f>
        <v>0</v>
      </c>
      <c r="AM175" s="528">
        <f>IF(ISNA(VLOOKUP($I175,Veg_Parameters!$A$3:$N$65,6,FALSE)), 0, (VLOOKUP($I175,Veg_Parameters!$A$3:$N$65,6,FALSE)))</f>
        <v>0</v>
      </c>
      <c r="AN175" s="529">
        <f t="shared" si="244"/>
        <v>20</v>
      </c>
      <c r="AO175" s="529">
        <f t="shared" si="245"/>
        <v>0</v>
      </c>
      <c r="AP175" s="529">
        <f t="shared" si="246"/>
        <v>0</v>
      </c>
      <c r="AQ175" s="530">
        <f t="shared" si="262"/>
        <v>0</v>
      </c>
      <c r="AR175" s="527" t="s">
        <v>3</v>
      </c>
      <c r="AS175" s="527">
        <f>IF(ISNA(VLOOKUP($I175,Veg_Parameters!$A$3:$N$65,8,FALSE)), 0, (VLOOKUP($I175,Veg_Parameters!$A$3:$N$65,8,FALSE)))</f>
        <v>0</v>
      </c>
      <c r="AT175" s="527">
        <f>AB175*(IF(ISNA(VLOOKUP($I175,Veg_Parameters!$A$3:$N$65,9,FALSE)), 0, (VLOOKUP($I175,Veg_Parameters!$A$3:$N$65,9,FALSE))))</f>
        <v>0</v>
      </c>
      <c r="AU175" s="527">
        <f>IF(ISBLANK(A175),0,VLOOKUP($I175,Veg_Parameters!$A$4:$U$65,21,))</f>
        <v>0</v>
      </c>
      <c r="AV175" s="527">
        <f t="shared" si="263"/>
        <v>0</v>
      </c>
      <c r="AW175" s="529">
        <f t="shared" si="264"/>
        <v>0</v>
      </c>
      <c r="AX175" s="529">
        <f t="shared" si="265"/>
        <v>0</v>
      </c>
      <c r="AY175" s="529">
        <f t="shared" si="247"/>
        <v>0</v>
      </c>
      <c r="AZ175" s="529">
        <f t="shared" si="266"/>
        <v>0</v>
      </c>
      <c r="BA175" s="529">
        <f t="shared" si="267"/>
        <v>0</v>
      </c>
      <c r="BB175" s="529">
        <f t="shared" si="268"/>
        <v>0</v>
      </c>
      <c r="BC175" s="529">
        <f t="shared" si="248"/>
        <v>0</v>
      </c>
      <c r="BD175" s="531"/>
      <c r="BE175" s="527">
        <f>AH175*(IF(ISNA(VLOOKUP($N175,Veg_Parameters!$A$3:$N$65,5,FALSE)),0,(VLOOKUP($N175,Veg_Parameters!$A$3:$N$65,5,FALSE))))</f>
        <v>0</v>
      </c>
      <c r="BF175" s="527">
        <f>IF(ISNA(VLOOKUP($N175,Veg_Parameters!$A$3:$N$65,4,FALSE)),0,(VLOOKUP($N175,Veg_Parameters!$A$3:$N$65,4,FALSE)))</f>
        <v>0</v>
      </c>
      <c r="BG175" s="527">
        <f>AH175*(IF(ISNA(VLOOKUP($N175,Veg_Parameters!$A$3:$N$65,7,FALSE)),0, (VLOOKUP($N175,Veg_Parameters!$A$3:$N$65,7,FALSE))))</f>
        <v>0</v>
      </c>
      <c r="BH175" s="527">
        <f>IF(ISNA(VLOOKUP($N175,Veg_Parameters!$A$3:$N$65,6,FALSE)), 0, (VLOOKUP($N175,Veg_Parameters!$A$3:$N$65,6,FALSE)))</f>
        <v>0</v>
      </c>
      <c r="BI175" s="529">
        <f t="shared" si="249"/>
        <v>20</v>
      </c>
      <c r="BJ175" s="529">
        <f t="shared" si="269"/>
        <v>0</v>
      </c>
      <c r="BK175" s="529">
        <f t="shared" si="250"/>
        <v>0</v>
      </c>
      <c r="BL175" s="530">
        <f t="shared" si="270"/>
        <v>0</v>
      </c>
      <c r="BM175" s="527" t="s">
        <v>3</v>
      </c>
      <c r="BN175" s="527">
        <f>IF(ISNA(VLOOKUP(N175,Veg_Parameters!$A$3:$N$65,8,FALSE)), 0, (VLOOKUP($N175,Veg_Parameters!$A$3:$N$65,8,FALSE)))</f>
        <v>0</v>
      </c>
      <c r="BO175" s="527">
        <f>AH175*(IF(ISNA(VLOOKUP($N175,Veg_Parameters!$A$3:$N$65,9,FALSE)), 0, (VLOOKUP($N175,Veg_Parameters!$A$3:$N$65,9,FALSE))))</f>
        <v>0</v>
      </c>
      <c r="BP175" s="527" t="str">
        <f>IF(ISBLANK(N175),"0",VLOOKUP($N175,Veg_Parameters!$A$4:$U$65,21,))</f>
        <v>0</v>
      </c>
      <c r="BQ175" s="529">
        <f t="shared" si="271"/>
        <v>0</v>
      </c>
      <c r="BR175" s="529">
        <f t="shared" si="272"/>
        <v>0</v>
      </c>
      <c r="BS175" s="529">
        <f t="shared" si="251"/>
        <v>0</v>
      </c>
      <c r="BT175" s="529">
        <f t="shared" si="273"/>
        <v>0</v>
      </c>
      <c r="BU175" s="529">
        <f t="shared" si="274"/>
        <v>0</v>
      </c>
      <c r="BV175" s="529">
        <f t="shared" si="275"/>
        <v>0</v>
      </c>
      <c r="BW175" s="532" t="str">
        <f t="shared" si="252"/>
        <v/>
      </c>
      <c r="BX175" s="532" t="str">
        <f t="shared" si="253"/>
        <v/>
      </c>
      <c r="BY175" s="532" t="str">
        <f t="shared" si="254"/>
        <v/>
      </c>
      <c r="BZ175" s="532" t="str">
        <f t="shared" si="255"/>
        <v/>
      </c>
      <c r="CA175" s="532">
        <f t="shared" si="256"/>
        <v>0</v>
      </c>
      <c r="CB175" s="533"/>
      <c r="CC175" s="624">
        <f t="shared" si="257"/>
        <v>0</v>
      </c>
      <c r="CD175" s="534">
        <f t="shared" si="258"/>
        <v>0</v>
      </c>
      <c r="CE175" s="534">
        <f t="shared" si="259"/>
        <v>0</v>
      </c>
      <c r="CF175" s="534">
        <f t="shared" si="260"/>
        <v>0</v>
      </c>
      <c r="CG175" s="534"/>
      <c r="CH175" s="534"/>
      <c r="CI175" s="534">
        <f t="shared" si="276"/>
        <v>0</v>
      </c>
      <c r="CL175" s="534">
        <f>IF(ISNA(VLOOKUP(I175,Veg_Parameters!$A$3:$N$65,13,FALSE)),0,(VLOOKUP(I175,Veg_Parameters!$A$3:$N$65,13,FALSE)))</f>
        <v>0</v>
      </c>
      <c r="CM175" s="534">
        <f t="shared" si="277"/>
        <v>0</v>
      </c>
      <c r="CN175" s="534">
        <f>IF(ISNA(VLOOKUP(N175,Veg_Parameters!$A$3:$N$65,13,FALSE)),0,(VLOOKUP(N175,Veg_Parameters!$A$3:$N$65,13,FALSE)))</f>
        <v>0</v>
      </c>
      <c r="CO175" s="523">
        <f t="shared" si="278"/>
        <v>0</v>
      </c>
    </row>
    <row r="176" spans="1:93" x14ac:dyDescent="0.2">
      <c r="A176" s="227"/>
      <c r="B176" s="171" t="str">
        <f t="shared" si="279"/>
        <v/>
      </c>
      <c r="C176" s="230"/>
      <c r="D176" s="169"/>
      <c r="E176" s="165"/>
      <c r="F176" s="165"/>
      <c r="G176" s="165"/>
      <c r="H176" s="165"/>
      <c r="I176" s="168"/>
      <c r="J176" s="167"/>
      <c r="K176" s="168"/>
      <c r="L176" s="167"/>
      <c r="M176" s="167"/>
      <c r="N176" s="168"/>
      <c r="O176" s="168"/>
      <c r="P176" s="167"/>
      <c r="Q176" s="167"/>
      <c r="R176" s="167"/>
      <c r="S176" s="222" t="str">
        <f>IF(ISBLANK(A176),"",IF(ISNA(VLOOKUP(I176,Veg_Parameters!$A$3:$N$65,3,FALSE)),0,(VLOOKUP(I176,Veg_Parameters!$A$3:$N$65,3,FALSE))))</f>
        <v/>
      </c>
      <c r="T176" s="222" t="str">
        <f>IF(ISBLANK(N176),"",IF(ISNA(VLOOKUP(N176,Veg_Parameters!$A$3:$N$65,3,FALSE)),0,(VLOOKUP(N176,Veg_Parameters!$A$3:$N$65,3,FALSE))))</f>
        <v/>
      </c>
      <c r="U176" s="523">
        <f t="shared" si="261"/>
        <v>0</v>
      </c>
      <c r="V176" s="523">
        <f t="shared" si="237"/>
        <v>0</v>
      </c>
      <c r="W176" s="524">
        <f>IF(ISBLANK(A176),0,IF(ISNA(VLOOKUP($I176,Veg_Parameters!$A$3:$N$65,10,FALSE)),0,(VLOOKUP($I176,Veg_Parameters!$A$3:$N$65,10,FALSE))))</f>
        <v>0</v>
      </c>
      <c r="X176" s="524">
        <f>IF(ISBLANK(A176),0,IF(ISNA(VLOOKUP($I176,Veg_Parameters!$A$3:$N$65,11,FALSE)),0,(VLOOKUP($I176,Veg_Parameters!$A$3:$N$65,11,FALSE))))</f>
        <v>0</v>
      </c>
      <c r="Y176" s="524">
        <f>IF(ISBLANK(A176),0,IF(ISNA(VLOOKUP($I176,Veg_Parameters!$A$3:$N$65,12,FALSE)),0,(VLOOKUP($I176,Veg_Parameters!$A$3:$N$65,12,FALSE))))</f>
        <v>0</v>
      </c>
      <c r="Z176" s="525">
        <f t="shared" si="238"/>
        <v>0</v>
      </c>
      <c r="AA176" s="525">
        <f t="shared" si="239"/>
        <v>0</v>
      </c>
      <c r="AB176" s="525">
        <f t="shared" si="240"/>
        <v>0</v>
      </c>
      <c r="AC176" s="524">
        <f>IF(ISBLANK(N176),0,IF(ISNA(VLOOKUP($N176,Veg_Parameters!$A$3:$N$65,10,FALSE)),0,(VLOOKUP($N176,Veg_Parameters!$A$3:$N$65,10,FALSE))))</f>
        <v>0</v>
      </c>
      <c r="AD176" s="524">
        <f>IF(ISBLANK(N176),0,IF(ISNA(VLOOKUP($N176,Veg_Parameters!$A$3:$N$65,11,FALSE)),0,(VLOOKUP($N176,Veg_Parameters!$A$3:$N$65,11,FALSE))))</f>
        <v>0</v>
      </c>
      <c r="AE176" s="524">
        <f>IF(ISBLANK(N176), 0, IF(ISNA(VLOOKUP($N176,Veg_Parameters!$A$3:$N$65,12,FALSE)),0,(VLOOKUP($N176,Veg_Parameters!$A$3:$N$65,12,FALSE))))</f>
        <v>0</v>
      </c>
      <c r="AF176" s="523">
        <f t="shared" si="241"/>
        <v>0</v>
      </c>
      <c r="AG176" s="523">
        <f t="shared" si="242"/>
        <v>0</v>
      </c>
      <c r="AH176" s="523">
        <f t="shared" si="243"/>
        <v>0</v>
      </c>
      <c r="AI176" s="526"/>
      <c r="AJ176" s="527">
        <f>AB176*(IF(ISNA(VLOOKUP($I176,Veg_Parameters!$A$3:$N$65,5,FALSE)),0,(VLOOKUP($I176,Veg_Parameters!$A$3:$N$65,5,FALSE))))</f>
        <v>0</v>
      </c>
      <c r="AK176" s="527">
        <f>IF(ISNA(VLOOKUP($I176,Veg_Parameters!$A$3:$N$65,4,FALSE)),0,(VLOOKUP($I176,Veg_Parameters!$A$3:$N$65,4,FALSE)))</f>
        <v>0</v>
      </c>
      <c r="AL176" s="527">
        <f>AB176*(IF(ISNA(VLOOKUP($I176,Veg_Parameters!$A$3:$N$65,7,FALSE)),0, (VLOOKUP($I176,Veg_Parameters!$A$3:$N$65,7,FALSE))))</f>
        <v>0</v>
      </c>
      <c r="AM176" s="528">
        <f>IF(ISNA(VLOOKUP($I176,Veg_Parameters!$A$3:$N$65,6,FALSE)), 0, (VLOOKUP($I176,Veg_Parameters!$A$3:$N$65,6,FALSE)))</f>
        <v>0</v>
      </c>
      <c r="AN176" s="529">
        <f t="shared" si="244"/>
        <v>20</v>
      </c>
      <c r="AO176" s="529">
        <f t="shared" si="245"/>
        <v>0</v>
      </c>
      <c r="AP176" s="529">
        <f t="shared" si="246"/>
        <v>0</v>
      </c>
      <c r="AQ176" s="530">
        <f t="shared" si="262"/>
        <v>0</v>
      </c>
      <c r="AR176" s="527" t="s">
        <v>3</v>
      </c>
      <c r="AS176" s="527">
        <f>IF(ISNA(VLOOKUP($I176,Veg_Parameters!$A$3:$N$65,8,FALSE)), 0, (VLOOKUP($I176,Veg_Parameters!$A$3:$N$65,8,FALSE)))</f>
        <v>0</v>
      </c>
      <c r="AT176" s="527">
        <f>AB176*(IF(ISNA(VLOOKUP($I176,Veg_Parameters!$A$3:$N$65,9,FALSE)), 0, (VLOOKUP($I176,Veg_Parameters!$A$3:$N$65,9,FALSE))))</f>
        <v>0</v>
      </c>
      <c r="AU176" s="527">
        <f>IF(ISBLANK(A176),0,VLOOKUP($I176,Veg_Parameters!$A$4:$U$65,21,))</f>
        <v>0</v>
      </c>
      <c r="AV176" s="527">
        <f t="shared" si="263"/>
        <v>0</v>
      </c>
      <c r="AW176" s="529">
        <f t="shared" si="264"/>
        <v>0</v>
      </c>
      <c r="AX176" s="529">
        <f t="shared" si="265"/>
        <v>0</v>
      </c>
      <c r="AY176" s="529">
        <f t="shared" si="247"/>
        <v>0</v>
      </c>
      <c r="AZ176" s="529">
        <f t="shared" si="266"/>
        <v>0</v>
      </c>
      <c r="BA176" s="529">
        <f t="shared" si="267"/>
        <v>0</v>
      </c>
      <c r="BB176" s="529">
        <f t="shared" si="268"/>
        <v>0</v>
      </c>
      <c r="BC176" s="529">
        <f t="shared" si="248"/>
        <v>0</v>
      </c>
      <c r="BD176" s="531"/>
      <c r="BE176" s="527">
        <f>AH176*(IF(ISNA(VLOOKUP($N176,Veg_Parameters!$A$3:$N$65,5,FALSE)),0,(VLOOKUP($N176,Veg_Parameters!$A$3:$N$65,5,FALSE))))</f>
        <v>0</v>
      </c>
      <c r="BF176" s="527">
        <f>IF(ISNA(VLOOKUP($N176,Veg_Parameters!$A$3:$N$65,4,FALSE)),0,(VLOOKUP($N176,Veg_Parameters!$A$3:$N$65,4,FALSE)))</f>
        <v>0</v>
      </c>
      <c r="BG176" s="527">
        <f>AH176*(IF(ISNA(VLOOKUP($N176,Veg_Parameters!$A$3:$N$65,7,FALSE)),0, (VLOOKUP($N176,Veg_Parameters!$A$3:$N$65,7,FALSE))))</f>
        <v>0</v>
      </c>
      <c r="BH176" s="527">
        <f>IF(ISNA(VLOOKUP($N176,Veg_Parameters!$A$3:$N$65,6,FALSE)), 0, (VLOOKUP($N176,Veg_Parameters!$A$3:$N$65,6,FALSE)))</f>
        <v>0</v>
      </c>
      <c r="BI176" s="529">
        <f t="shared" si="249"/>
        <v>20</v>
      </c>
      <c r="BJ176" s="529">
        <f t="shared" si="269"/>
        <v>0</v>
      </c>
      <c r="BK176" s="529">
        <f t="shared" si="250"/>
        <v>0</v>
      </c>
      <c r="BL176" s="530">
        <f t="shared" si="270"/>
        <v>0</v>
      </c>
      <c r="BM176" s="527" t="s">
        <v>3</v>
      </c>
      <c r="BN176" s="527">
        <f>IF(ISNA(VLOOKUP(N176,Veg_Parameters!$A$3:$N$65,8,FALSE)), 0, (VLOOKUP($N176,Veg_Parameters!$A$3:$N$65,8,FALSE)))</f>
        <v>0</v>
      </c>
      <c r="BO176" s="527">
        <f>AH176*(IF(ISNA(VLOOKUP($N176,Veg_Parameters!$A$3:$N$65,9,FALSE)), 0, (VLOOKUP($N176,Veg_Parameters!$A$3:$N$65,9,FALSE))))</f>
        <v>0</v>
      </c>
      <c r="BP176" s="527" t="str">
        <f>IF(ISBLANK(N176),"0",VLOOKUP($N176,Veg_Parameters!$A$4:$U$65,21,))</f>
        <v>0</v>
      </c>
      <c r="BQ176" s="529">
        <f t="shared" si="271"/>
        <v>0</v>
      </c>
      <c r="BR176" s="529">
        <f t="shared" si="272"/>
        <v>0</v>
      </c>
      <c r="BS176" s="529">
        <f t="shared" si="251"/>
        <v>0</v>
      </c>
      <c r="BT176" s="529">
        <f t="shared" si="273"/>
        <v>0</v>
      </c>
      <c r="BU176" s="529">
        <f t="shared" si="274"/>
        <v>0</v>
      </c>
      <c r="BV176" s="529">
        <f t="shared" si="275"/>
        <v>0</v>
      </c>
      <c r="BW176" s="532" t="str">
        <f t="shared" si="252"/>
        <v/>
      </c>
      <c r="BX176" s="532" t="str">
        <f t="shared" si="253"/>
        <v/>
      </c>
      <c r="BY176" s="532" t="str">
        <f t="shared" si="254"/>
        <v/>
      </c>
      <c r="BZ176" s="532" t="str">
        <f t="shared" si="255"/>
        <v/>
      </c>
      <c r="CA176" s="532">
        <f t="shared" si="256"/>
        <v>0</v>
      </c>
      <c r="CB176" s="533"/>
      <c r="CC176" s="624">
        <f t="shared" si="257"/>
        <v>0</v>
      </c>
      <c r="CD176" s="534">
        <f t="shared" si="258"/>
        <v>0</v>
      </c>
      <c r="CE176" s="534">
        <f t="shared" si="259"/>
        <v>0</v>
      </c>
      <c r="CF176" s="534">
        <f t="shared" si="260"/>
        <v>0</v>
      </c>
      <c r="CG176" s="534"/>
      <c r="CH176" s="534"/>
      <c r="CI176" s="534">
        <f t="shared" si="276"/>
        <v>0</v>
      </c>
      <c r="CL176" s="534">
        <f>IF(ISNA(VLOOKUP(I176,Veg_Parameters!$A$3:$N$65,13,FALSE)),0,(VLOOKUP(I176,Veg_Parameters!$A$3:$N$65,13,FALSE)))</f>
        <v>0</v>
      </c>
      <c r="CM176" s="534">
        <f t="shared" si="277"/>
        <v>0</v>
      </c>
      <c r="CN176" s="534">
        <f>IF(ISNA(VLOOKUP(N176,Veg_Parameters!$A$3:$N$65,13,FALSE)),0,(VLOOKUP(N176,Veg_Parameters!$A$3:$N$65,13,FALSE)))</f>
        <v>0</v>
      </c>
      <c r="CO176" s="523">
        <f t="shared" si="278"/>
        <v>0</v>
      </c>
    </row>
    <row r="177" spans="1:93" x14ac:dyDescent="0.2">
      <c r="A177" s="227"/>
      <c r="B177" s="171" t="str">
        <f t="shared" si="279"/>
        <v/>
      </c>
      <c r="C177" s="230"/>
      <c r="D177" s="169"/>
      <c r="E177" s="165"/>
      <c r="F177" s="165"/>
      <c r="G177" s="165"/>
      <c r="H177" s="165"/>
      <c r="I177" s="168"/>
      <c r="J177" s="167"/>
      <c r="K177" s="168"/>
      <c r="L177" s="167"/>
      <c r="M177" s="167"/>
      <c r="N177" s="168"/>
      <c r="O177" s="168"/>
      <c r="P177" s="167"/>
      <c r="Q177" s="167"/>
      <c r="R177" s="167"/>
      <c r="S177" s="222" t="str">
        <f>IF(ISBLANK(A177),"",IF(ISNA(VLOOKUP(I177,Veg_Parameters!$A$3:$N$65,3,FALSE)),0,(VLOOKUP(I177,Veg_Parameters!$A$3:$N$65,3,FALSE))))</f>
        <v/>
      </c>
      <c r="T177" s="222" t="str">
        <f>IF(ISBLANK(N177),"",IF(ISNA(VLOOKUP(N177,Veg_Parameters!$A$3:$N$65,3,FALSE)),0,(VLOOKUP(N177,Veg_Parameters!$A$3:$N$65,3,FALSE))))</f>
        <v/>
      </c>
      <c r="U177" s="523">
        <f t="shared" si="261"/>
        <v>0</v>
      </c>
      <c r="V177" s="523">
        <f t="shared" si="237"/>
        <v>0</v>
      </c>
      <c r="W177" s="524">
        <f>IF(ISBLANK(A177),0,IF(ISNA(VLOOKUP($I177,Veg_Parameters!$A$3:$N$65,10,FALSE)),0,(VLOOKUP($I177,Veg_Parameters!$A$3:$N$65,10,FALSE))))</f>
        <v>0</v>
      </c>
      <c r="X177" s="524">
        <f>IF(ISBLANK(A177),0,IF(ISNA(VLOOKUP($I177,Veg_Parameters!$A$3:$N$65,11,FALSE)),0,(VLOOKUP($I177,Veg_Parameters!$A$3:$N$65,11,FALSE))))</f>
        <v>0</v>
      </c>
      <c r="Y177" s="524">
        <f>IF(ISBLANK(A177),0,IF(ISNA(VLOOKUP($I177,Veg_Parameters!$A$3:$N$65,12,FALSE)),0,(VLOOKUP($I177,Veg_Parameters!$A$3:$N$65,12,FALSE))))</f>
        <v>0</v>
      </c>
      <c r="Z177" s="525">
        <f t="shared" si="238"/>
        <v>0</v>
      </c>
      <c r="AA177" s="525">
        <f t="shared" si="239"/>
        <v>0</v>
      </c>
      <c r="AB177" s="525">
        <f t="shared" si="240"/>
        <v>0</v>
      </c>
      <c r="AC177" s="524">
        <f>IF(ISBLANK(N177),0,IF(ISNA(VLOOKUP($N177,Veg_Parameters!$A$3:$N$65,10,FALSE)),0,(VLOOKUP($N177,Veg_Parameters!$A$3:$N$65,10,FALSE))))</f>
        <v>0</v>
      </c>
      <c r="AD177" s="524">
        <f>IF(ISBLANK(N177),0,IF(ISNA(VLOOKUP($N177,Veg_Parameters!$A$3:$N$65,11,FALSE)),0,(VLOOKUP($N177,Veg_Parameters!$A$3:$N$65,11,FALSE))))</f>
        <v>0</v>
      </c>
      <c r="AE177" s="524">
        <f>IF(ISBLANK(N177), 0, IF(ISNA(VLOOKUP($N177,Veg_Parameters!$A$3:$N$65,12,FALSE)),0,(VLOOKUP($N177,Veg_Parameters!$A$3:$N$65,12,FALSE))))</f>
        <v>0</v>
      </c>
      <c r="AF177" s="523">
        <f t="shared" si="241"/>
        <v>0</v>
      </c>
      <c r="AG177" s="523">
        <f t="shared" si="242"/>
        <v>0</v>
      </c>
      <c r="AH177" s="523">
        <f t="shared" si="243"/>
        <v>0</v>
      </c>
      <c r="AI177" s="526"/>
      <c r="AJ177" s="527">
        <f>AB177*(IF(ISNA(VLOOKUP($I177,Veg_Parameters!$A$3:$N$65,5,FALSE)),0,(VLOOKUP($I177,Veg_Parameters!$A$3:$N$65,5,FALSE))))</f>
        <v>0</v>
      </c>
      <c r="AK177" s="527">
        <f>IF(ISNA(VLOOKUP($I177,Veg_Parameters!$A$3:$N$65,4,FALSE)),0,(VLOOKUP($I177,Veg_Parameters!$A$3:$N$65,4,FALSE)))</f>
        <v>0</v>
      </c>
      <c r="AL177" s="527">
        <f>AB177*(IF(ISNA(VLOOKUP($I177,Veg_Parameters!$A$3:$N$65,7,FALSE)),0, (VLOOKUP($I177,Veg_Parameters!$A$3:$N$65,7,FALSE))))</f>
        <v>0</v>
      </c>
      <c r="AM177" s="528">
        <f>IF(ISNA(VLOOKUP($I177,Veg_Parameters!$A$3:$N$65,6,FALSE)), 0, (VLOOKUP($I177,Veg_Parameters!$A$3:$N$65,6,FALSE)))</f>
        <v>0</v>
      </c>
      <c r="AN177" s="529">
        <f t="shared" si="244"/>
        <v>20</v>
      </c>
      <c r="AO177" s="529">
        <f t="shared" si="245"/>
        <v>0</v>
      </c>
      <c r="AP177" s="529">
        <f t="shared" si="246"/>
        <v>0</v>
      </c>
      <c r="AQ177" s="530">
        <f t="shared" si="262"/>
        <v>0</v>
      </c>
      <c r="AR177" s="527" t="s">
        <v>3</v>
      </c>
      <c r="AS177" s="527">
        <f>IF(ISNA(VLOOKUP($I177,Veg_Parameters!$A$3:$N$65,8,FALSE)), 0, (VLOOKUP($I177,Veg_Parameters!$A$3:$N$65,8,FALSE)))</f>
        <v>0</v>
      </c>
      <c r="AT177" s="527">
        <f>AB177*(IF(ISNA(VLOOKUP($I177,Veg_Parameters!$A$3:$N$65,9,FALSE)), 0, (VLOOKUP($I177,Veg_Parameters!$A$3:$N$65,9,FALSE))))</f>
        <v>0</v>
      </c>
      <c r="AU177" s="527">
        <f>IF(ISBLANK(A177),0,VLOOKUP($I177,Veg_Parameters!$A$4:$U$65,21,))</f>
        <v>0</v>
      </c>
      <c r="AV177" s="527">
        <f t="shared" si="263"/>
        <v>0</v>
      </c>
      <c r="AW177" s="529">
        <f t="shared" si="264"/>
        <v>0</v>
      </c>
      <c r="AX177" s="529">
        <f t="shared" si="265"/>
        <v>0</v>
      </c>
      <c r="AY177" s="529">
        <f t="shared" si="247"/>
        <v>0</v>
      </c>
      <c r="AZ177" s="529">
        <f t="shared" si="266"/>
        <v>0</v>
      </c>
      <c r="BA177" s="529">
        <f t="shared" si="267"/>
        <v>0</v>
      </c>
      <c r="BB177" s="529">
        <f t="shared" si="268"/>
        <v>0</v>
      </c>
      <c r="BC177" s="529">
        <f t="shared" si="248"/>
        <v>0</v>
      </c>
      <c r="BD177" s="531"/>
      <c r="BE177" s="527">
        <f>AH177*(IF(ISNA(VLOOKUP($N177,Veg_Parameters!$A$3:$N$65,5,FALSE)),0,(VLOOKUP($N177,Veg_Parameters!$A$3:$N$65,5,FALSE))))</f>
        <v>0</v>
      </c>
      <c r="BF177" s="527">
        <f>IF(ISNA(VLOOKUP($N177,Veg_Parameters!$A$3:$N$65,4,FALSE)),0,(VLOOKUP($N177,Veg_Parameters!$A$3:$N$65,4,FALSE)))</f>
        <v>0</v>
      </c>
      <c r="BG177" s="527">
        <f>AH177*(IF(ISNA(VLOOKUP($N177,Veg_Parameters!$A$3:$N$65,7,FALSE)),0, (VLOOKUP($N177,Veg_Parameters!$A$3:$N$65,7,FALSE))))</f>
        <v>0</v>
      </c>
      <c r="BH177" s="527">
        <f>IF(ISNA(VLOOKUP($N177,Veg_Parameters!$A$3:$N$65,6,FALSE)), 0, (VLOOKUP($N177,Veg_Parameters!$A$3:$N$65,6,FALSE)))</f>
        <v>0</v>
      </c>
      <c r="BI177" s="529">
        <f t="shared" si="249"/>
        <v>20</v>
      </c>
      <c r="BJ177" s="529">
        <f t="shared" si="269"/>
        <v>0</v>
      </c>
      <c r="BK177" s="529">
        <f t="shared" si="250"/>
        <v>0</v>
      </c>
      <c r="BL177" s="530">
        <f t="shared" si="270"/>
        <v>0</v>
      </c>
      <c r="BM177" s="527" t="s">
        <v>3</v>
      </c>
      <c r="BN177" s="527">
        <f>IF(ISNA(VLOOKUP(N177,Veg_Parameters!$A$3:$N$65,8,FALSE)), 0, (VLOOKUP($N177,Veg_Parameters!$A$3:$N$65,8,FALSE)))</f>
        <v>0</v>
      </c>
      <c r="BO177" s="527">
        <f>AH177*(IF(ISNA(VLOOKUP($N177,Veg_Parameters!$A$3:$N$65,9,FALSE)), 0, (VLOOKUP($N177,Veg_Parameters!$A$3:$N$65,9,FALSE))))</f>
        <v>0</v>
      </c>
      <c r="BP177" s="527" t="str">
        <f>IF(ISBLANK(N177),"0",VLOOKUP($N177,Veg_Parameters!$A$4:$U$65,21,))</f>
        <v>0</v>
      </c>
      <c r="BQ177" s="529">
        <f t="shared" si="271"/>
        <v>0</v>
      </c>
      <c r="BR177" s="529">
        <f t="shared" si="272"/>
        <v>0</v>
      </c>
      <c r="BS177" s="529">
        <f t="shared" si="251"/>
        <v>0</v>
      </c>
      <c r="BT177" s="529">
        <f t="shared" si="273"/>
        <v>0</v>
      </c>
      <c r="BU177" s="529">
        <f t="shared" si="274"/>
        <v>0</v>
      </c>
      <c r="BV177" s="529">
        <f t="shared" si="275"/>
        <v>0</v>
      </c>
      <c r="BW177" s="532" t="str">
        <f t="shared" si="252"/>
        <v/>
      </c>
      <c r="BX177" s="532" t="str">
        <f t="shared" si="253"/>
        <v/>
      </c>
      <c r="BY177" s="532" t="str">
        <f t="shared" si="254"/>
        <v/>
      </c>
      <c r="BZ177" s="532" t="str">
        <f t="shared" si="255"/>
        <v/>
      </c>
      <c r="CA177" s="532">
        <f t="shared" si="256"/>
        <v>0</v>
      </c>
      <c r="CB177" s="533"/>
      <c r="CC177" s="624">
        <f t="shared" si="257"/>
        <v>0</v>
      </c>
      <c r="CD177" s="534">
        <f t="shared" si="258"/>
        <v>0</v>
      </c>
      <c r="CE177" s="534">
        <f t="shared" si="259"/>
        <v>0</v>
      </c>
      <c r="CF177" s="534">
        <f t="shared" si="260"/>
        <v>0</v>
      </c>
      <c r="CG177" s="534"/>
      <c r="CH177" s="534"/>
      <c r="CI177" s="534">
        <f t="shared" si="276"/>
        <v>0</v>
      </c>
      <c r="CL177" s="534">
        <f>IF(ISNA(VLOOKUP(I177,Veg_Parameters!$A$3:$N$65,13,FALSE)),0,(VLOOKUP(I177,Veg_Parameters!$A$3:$N$65,13,FALSE)))</f>
        <v>0</v>
      </c>
      <c r="CM177" s="534">
        <f t="shared" si="277"/>
        <v>0</v>
      </c>
      <c r="CN177" s="534">
        <f>IF(ISNA(VLOOKUP(N177,Veg_Parameters!$A$3:$N$65,13,FALSE)),0,(VLOOKUP(N177,Veg_Parameters!$A$3:$N$65,13,FALSE)))</f>
        <v>0</v>
      </c>
      <c r="CO177" s="523">
        <f t="shared" si="278"/>
        <v>0</v>
      </c>
    </row>
    <row r="178" spans="1:93" x14ac:dyDescent="0.2">
      <c r="A178" s="227"/>
      <c r="B178" s="171" t="str">
        <f t="shared" si="279"/>
        <v/>
      </c>
      <c r="C178" s="230"/>
      <c r="D178" s="169"/>
      <c r="E178" s="165"/>
      <c r="F178" s="165"/>
      <c r="G178" s="165"/>
      <c r="H178" s="165"/>
      <c r="I178" s="168"/>
      <c r="J178" s="167"/>
      <c r="K178" s="168"/>
      <c r="L178" s="167"/>
      <c r="M178" s="167"/>
      <c r="N178" s="168"/>
      <c r="O178" s="168"/>
      <c r="P178" s="167"/>
      <c r="Q178" s="167"/>
      <c r="R178" s="167"/>
      <c r="S178" s="222" t="str">
        <f>IF(ISBLANK(A178),"",IF(ISNA(VLOOKUP(I178,Veg_Parameters!$A$3:$N$65,3,FALSE)),0,(VLOOKUP(I178,Veg_Parameters!$A$3:$N$65,3,FALSE))))</f>
        <v/>
      </c>
      <c r="T178" s="222" t="str">
        <f>IF(ISBLANK(N178),"",IF(ISNA(VLOOKUP(N178,Veg_Parameters!$A$3:$N$65,3,FALSE)),0,(VLOOKUP(N178,Veg_Parameters!$A$3:$N$65,3,FALSE))))</f>
        <v/>
      </c>
      <c r="U178" s="523">
        <f t="shared" si="261"/>
        <v>0</v>
      </c>
      <c r="V178" s="523">
        <f t="shared" si="237"/>
        <v>0</v>
      </c>
      <c r="W178" s="524">
        <f>IF(ISBLANK(A178),0,IF(ISNA(VLOOKUP($I178,Veg_Parameters!$A$3:$N$65,10,FALSE)),0,(VLOOKUP($I178,Veg_Parameters!$A$3:$N$65,10,FALSE))))</f>
        <v>0</v>
      </c>
      <c r="X178" s="524">
        <f>IF(ISBLANK(A178),0,IF(ISNA(VLOOKUP($I178,Veg_Parameters!$A$3:$N$65,11,FALSE)),0,(VLOOKUP($I178,Veg_Parameters!$A$3:$N$65,11,FALSE))))</f>
        <v>0</v>
      </c>
      <c r="Y178" s="524">
        <f>IF(ISBLANK(A178),0,IF(ISNA(VLOOKUP($I178,Veg_Parameters!$A$3:$N$65,12,FALSE)),0,(VLOOKUP($I178,Veg_Parameters!$A$3:$N$65,12,FALSE))))</f>
        <v>0</v>
      </c>
      <c r="Z178" s="525">
        <f t="shared" si="238"/>
        <v>0</v>
      </c>
      <c r="AA178" s="525">
        <f t="shared" si="239"/>
        <v>0</v>
      </c>
      <c r="AB178" s="525">
        <f t="shared" si="240"/>
        <v>0</v>
      </c>
      <c r="AC178" s="524">
        <f>IF(ISBLANK(N178),0,IF(ISNA(VLOOKUP($N178,Veg_Parameters!$A$3:$N$65,10,FALSE)),0,(VLOOKUP($N178,Veg_Parameters!$A$3:$N$65,10,FALSE))))</f>
        <v>0</v>
      </c>
      <c r="AD178" s="524">
        <f>IF(ISBLANK(N178),0,IF(ISNA(VLOOKUP($N178,Veg_Parameters!$A$3:$N$65,11,FALSE)),0,(VLOOKUP($N178,Veg_Parameters!$A$3:$N$65,11,FALSE))))</f>
        <v>0</v>
      </c>
      <c r="AE178" s="524">
        <f>IF(ISBLANK(N178), 0, IF(ISNA(VLOOKUP($N178,Veg_Parameters!$A$3:$N$65,12,FALSE)),0,(VLOOKUP($N178,Veg_Parameters!$A$3:$N$65,12,FALSE))))</f>
        <v>0</v>
      </c>
      <c r="AF178" s="523">
        <f t="shared" si="241"/>
        <v>0</v>
      </c>
      <c r="AG178" s="523">
        <f t="shared" si="242"/>
        <v>0</v>
      </c>
      <c r="AH178" s="523">
        <f t="shared" si="243"/>
        <v>0</v>
      </c>
      <c r="AI178" s="526"/>
      <c r="AJ178" s="527">
        <f>AB178*(IF(ISNA(VLOOKUP($I178,Veg_Parameters!$A$3:$N$65,5,FALSE)),0,(VLOOKUP($I178,Veg_Parameters!$A$3:$N$65,5,FALSE))))</f>
        <v>0</v>
      </c>
      <c r="AK178" s="527">
        <f>IF(ISNA(VLOOKUP($I178,Veg_Parameters!$A$3:$N$65,4,FALSE)),0,(VLOOKUP($I178,Veg_Parameters!$A$3:$N$65,4,FALSE)))</f>
        <v>0</v>
      </c>
      <c r="AL178" s="527">
        <f>AB178*(IF(ISNA(VLOOKUP($I178,Veg_Parameters!$A$3:$N$65,7,FALSE)),0, (VLOOKUP($I178,Veg_Parameters!$A$3:$N$65,7,FALSE))))</f>
        <v>0</v>
      </c>
      <c r="AM178" s="528">
        <f>IF(ISNA(VLOOKUP($I178,Veg_Parameters!$A$3:$N$65,6,FALSE)), 0, (VLOOKUP($I178,Veg_Parameters!$A$3:$N$65,6,FALSE)))</f>
        <v>0</v>
      </c>
      <c r="AN178" s="529">
        <f t="shared" si="244"/>
        <v>20</v>
      </c>
      <c r="AO178" s="529">
        <f t="shared" si="245"/>
        <v>0</v>
      </c>
      <c r="AP178" s="529">
        <f t="shared" si="246"/>
        <v>0</v>
      </c>
      <c r="AQ178" s="530">
        <f t="shared" si="262"/>
        <v>0</v>
      </c>
      <c r="AR178" s="527" t="s">
        <v>3</v>
      </c>
      <c r="AS178" s="527">
        <f>IF(ISNA(VLOOKUP($I178,Veg_Parameters!$A$3:$N$65,8,FALSE)), 0, (VLOOKUP($I178,Veg_Parameters!$A$3:$N$65,8,FALSE)))</f>
        <v>0</v>
      </c>
      <c r="AT178" s="527">
        <f>AB178*(IF(ISNA(VLOOKUP($I178,Veg_Parameters!$A$3:$N$65,9,FALSE)), 0, (VLOOKUP($I178,Veg_Parameters!$A$3:$N$65,9,FALSE))))</f>
        <v>0</v>
      </c>
      <c r="AU178" s="527">
        <f>IF(ISBLANK(A178),0,VLOOKUP($I178,Veg_Parameters!$A$4:$U$65,21,))</f>
        <v>0</v>
      </c>
      <c r="AV178" s="527">
        <f t="shared" si="263"/>
        <v>0</v>
      </c>
      <c r="AW178" s="529">
        <f t="shared" si="264"/>
        <v>0</v>
      </c>
      <c r="AX178" s="529">
        <f t="shared" si="265"/>
        <v>0</v>
      </c>
      <c r="AY178" s="529">
        <f t="shared" si="247"/>
        <v>0</v>
      </c>
      <c r="AZ178" s="529">
        <f t="shared" si="266"/>
        <v>0</v>
      </c>
      <c r="BA178" s="529">
        <f t="shared" si="267"/>
        <v>0</v>
      </c>
      <c r="BB178" s="529">
        <f t="shared" si="268"/>
        <v>0</v>
      </c>
      <c r="BC178" s="529">
        <f t="shared" si="248"/>
        <v>0</v>
      </c>
      <c r="BD178" s="531"/>
      <c r="BE178" s="527">
        <f>AH178*(IF(ISNA(VLOOKUP($N178,Veg_Parameters!$A$3:$N$65,5,FALSE)),0,(VLOOKUP($N178,Veg_Parameters!$A$3:$N$65,5,FALSE))))</f>
        <v>0</v>
      </c>
      <c r="BF178" s="527">
        <f>IF(ISNA(VLOOKUP($N178,Veg_Parameters!$A$3:$N$65,4,FALSE)),0,(VLOOKUP($N178,Veg_Parameters!$A$3:$N$65,4,FALSE)))</f>
        <v>0</v>
      </c>
      <c r="BG178" s="527">
        <f>AH178*(IF(ISNA(VLOOKUP($N178,Veg_Parameters!$A$3:$N$65,7,FALSE)),0, (VLOOKUP($N178,Veg_Parameters!$A$3:$N$65,7,FALSE))))</f>
        <v>0</v>
      </c>
      <c r="BH178" s="527">
        <f>IF(ISNA(VLOOKUP($N178,Veg_Parameters!$A$3:$N$65,6,FALSE)), 0, (VLOOKUP($N178,Veg_Parameters!$A$3:$N$65,6,FALSE)))</f>
        <v>0</v>
      </c>
      <c r="BI178" s="529">
        <f t="shared" si="249"/>
        <v>20</v>
      </c>
      <c r="BJ178" s="529">
        <f t="shared" si="269"/>
        <v>0</v>
      </c>
      <c r="BK178" s="529">
        <f t="shared" si="250"/>
        <v>0</v>
      </c>
      <c r="BL178" s="530">
        <f t="shared" si="270"/>
        <v>0</v>
      </c>
      <c r="BM178" s="527" t="s">
        <v>3</v>
      </c>
      <c r="BN178" s="527">
        <f>IF(ISNA(VLOOKUP(N178,Veg_Parameters!$A$3:$N$65,8,FALSE)), 0, (VLOOKUP($N178,Veg_Parameters!$A$3:$N$65,8,FALSE)))</f>
        <v>0</v>
      </c>
      <c r="BO178" s="527">
        <f>AH178*(IF(ISNA(VLOOKUP($N178,Veg_Parameters!$A$3:$N$65,9,FALSE)), 0, (VLOOKUP($N178,Veg_Parameters!$A$3:$N$65,9,FALSE))))</f>
        <v>0</v>
      </c>
      <c r="BP178" s="527" t="str">
        <f>IF(ISBLANK(N178),"0",VLOOKUP($N178,Veg_Parameters!$A$4:$U$65,21,))</f>
        <v>0</v>
      </c>
      <c r="BQ178" s="529">
        <f t="shared" si="271"/>
        <v>0</v>
      </c>
      <c r="BR178" s="529">
        <f t="shared" si="272"/>
        <v>0</v>
      </c>
      <c r="BS178" s="529">
        <f t="shared" si="251"/>
        <v>0</v>
      </c>
      <c r="BT178" s="529">
        <f t="shared" si="273"/>
        <v>0</v>
      </c>
      <c r="BU178" s="529">
        <f t="shared" si="274"/>
        <v>0</v>
      </c>
      <c r="BV178" s="529">
        <f t="shared" si="275"/>
        <v>0</v>
      </c>
      <c r="BW178" s="532" t="str">
        <f t="shared" si="252"/>
        <v/>
      </c>
      <c r="BX178" s="532" t="str">
        <f t="shared" si="253"/>
        <v/>
      </c>
      <c r="BY178" s="532" t="str">
        <f t="shared" si="254"/>
        <v/>
      </c>
      <c r="BZ178" s="532" t="str">
        <f t="shared" si="255"/>
        <v/>
      </c>
      <c r="CA178" s="532">
        <f t="shared" si="256"/>
        <v>0</v>
      </c>
      <c r="CB178" s="533"/>
      <c r="CC178" s="624">
        <f t="shared" si="257"/>
        <v>0</v>
      </c>
      <c r="CD178" s="534">
        <f t="shared" si="258"/>
        <v>0</v>
      </c>
      <c r="CE178" s="534">
        <f t="shared" si="259"/>
        <v>0</v>
      </c>
      <c r="CF178" s="534">
        <f t="shared" si="260"/>
        <v>0</v>
      </c>
      <c r="CG178" s="534"/>
      <c r="CH178" s="534"/>
      <c r="CI178" s="534">
        <f t="shared" si="276"/>
        <v>0</v>
      </c>
      <c r="CL178" s="534">
        <f>IF(ISNA(VLOOKUP(I178,Veg_Parameters!$A$3:$N$65,13,FALSE)),0,(VLOOKUP(I178,Veg_Parameters!$A$3:$N$65,13,FALSE)))</f>
        <v>0</v>
      </c>
      <c r="CM178" s="534">
        <f t="shared" si="277"/>
        <v>0</v>
      </c>
      <c r="CN178" s="534">
        <f>IF(ISNA(VLOOKUP(N178,Veg_Parameters!$A$3:$N$65,13,FALSE)),0,(VLOOKUP(N178,Veg_Parameters!$A$3:$N$65,13,FALSE)))</f>
        <v>0</v>
      </c>
      <c r="CO178" s="523">
        <f t="shared" si="278"/>
        <v>0</v>
      </c>
    </row>
    <row r="179" spans="1:93" x14ac:dyDescent="0.2">
      <c r="A179" s="227"/>
      <c r="B179" s="171" t="str">
        <f t="shared" si="279"/>
        <v/>
      </c>
      <c r="C179" s="230"/>
      <c r="D179" s="169"/>
      <c r="E179" s="165"/>
      <c r="F179" s="165"/>
      <c r="G179" s="165"/>
      <c r="H179" s="165"/>
      <c r="I179" s="168"/>
      <c r="J179" s="167"/>
      <c r="K179" s="168"/>
      <c r="L179" s="167"/>
      <c r="M179" s="167"/>
      <c r="N179" s="168"/>
      <c r="O179" s="168"/>
      <c r="P179" s="167"/>
      <c r="Q179" s="167"/>
      <c r="R179" s="167"/>
      <c r="S179" s="222" t="str">
        <f>IF(ISBLANK(A179),"",IF(ISNA(VLOOKUP(I179,Veg_Parameters!$A$3:$N$65,3,FALSE)),0,(VLOOKUP(I179,Veg_Parameters!$A$3:$N$65,3,FALSE))))</f>
        <v/>
      </c>
      <c r="T179" s="222" t="str">
        <f>IF(ISBLANK(N179),"",IF(ISNA(VLOOKUP(N179,Veg_Parameters!$A$3:$N$65,3,FALSE)),0,(VLOOKUP(N179,Veg_Parameters!$A$3:$N$65,3,FALSE))))</f>
        <v/>
      </c>
      <c r="U179" s="523">
        <f t="shared" si="261"/>
        <v>0</v>
      </c>
      <c r="V179" s="523">
        <f t="shared" si="237"/>
        <v>0</v>
      </c>
      <c r="W179" s="524">
        <f>IF(ISBLANK(A179),0,IF(ISNA(VLOOKUP($I179,Veg_Parameters!$A$3:$N$65,10,FALSE)),0,(VLOOKUP($I179,Veg_Parameters!$A$3:$N$65,10,FALSE))))</f>
        <v>0</v>
      </c>
      <c r="X179" s="524">
        <f>IF(ISBLANK(A179),0,IF(ISNA(VLOOKUP($I179,Veg_Parameters!$A$3:$N$65,11,FALSE)),0,(VLOOKUP($I179,Veg_Parameters!$A$3:$N$65,11,FALSE))))</f>
        <v>0</v>
      </c>
      <c r="Y179" s="524">
        <f>IF(ISBLANK(A179),0,IF(ISNA(VLOOKUP($I179,Veg_Parameters!$A$3:$N$65,12,FALSE)),0,(VLOOKUP($I179,Veg_Parameters!$A$3:$N$65,12,FALSE))))</f>
        <v>0</v>
      </c>
      <c r="Z179" s="525">
        <f t="shared" si="238"/>
        <v>0</v>
      </c>
      <c r="AA179" s="525">
        <f t="shared" si="239"/>
        <v>0</v>
      </c>
      <c r="AB179" s="525">
        <f t="shared" si="240"/>
        <v>0</v>
      </c>
      <c r="AC179" s="524">
        <f>IF(ISBLANK(N179),0,IF(ISNA(VLOOKUP($N179,Veg_Parameters!$A$3:$N$65,10,FALSE)),0,(VLOOKUP($N179,Veg_Parameters!$A$3:$N$65,10,FALSE))))</f>
        <v>0</v>
      </c>
      <c r="AD179" s="524">
        <f>IF(ISBLANK(N179),0,IF(ISNA(VLOOKUP($N179,Veg_Parameters!$A$3:$N$65,11,FALSE)),0,(VLOOKUP($N179,Veg_Parameters!$A$3:$N$65,11,FALSE))))</f>
        <v>0</v>
      </c>
      <c r="AE179" s="524">
        <f>IF(ISBLANK(N179), 0, IF(ISNA(VLOOKUP($N179,Veg_Parameters!$A$3:$N$65,12,FALSE)),0,(VLOOKUP($N179,Veg_Parameters!$A$3:$N$65,12,FALSE))))</f>
        <v>0</v>
      </c>
      <c r="AF179" s="523">
        <f t="shared" si="241"/>
        <v>0</v>
      </c>
      <c r="AG179" s="523">
        <f t="shared" si="242"/>
        <v>0</v>
      </c>
      <c r="AH179" s="523">
        <f t="shared" si="243"/>
        <v>0</v>
      </c>
      <c r="AI179" s="526"/>
      <c r="AJ179" s="527">
        <f>AB179*(IF(ISNA(VLOOKUP($I179,Veg_Parameters!$A$3:$N$65,5,FALSE)),0,(VLOOKUP($I179,Veg_Parameters!$A$3:$N$65,5,FALSE))))</f>
        <v>0</v>
      </c>
      <c r="AK179" s="527">
        <f>IF(ISNA(VLOOKUP($I179,Veg_Parameters!$A$3:$N$65,4,FALSE)),0,(VLOOKUP($I179,Veg_Parameters!$A$3:$N$65,4,FALSE)))</f>
        <v>0</v>
      </c>
      <c r="AL179" s="527">
        <f>AB179*(IF(ISNA(VLOOKUP($I179,Veg_Parameters!$A$3:$N$65,7,FALSE)),0, (VLOOKUP($I179,Veg_Parameters!$A$3:$N$65,7,FALSE))))</f>
        <v>0</v>
      </c>
      <c r="AM179" s="528">
        <f>IF(ISNA(VLOOKUP($I179,Veg_Parameters!$A$3:$N$65,6,FALSE)), 0, (VLOOKUP($I179,Veg_Parameters!$A$3:$N$65,6,FALSE)))</f>
        <v>0</v>
      </c>
      <c r="AN179" s="529">
        <f t="shared" si="244"/>
        <v>20</v>
      </c>
      <c r="AO179" s="529">
        <f t="shared" si="245"/>
        <v>0</v>
      </c>
      <c r="AP179" s="529">
        <f t="shared" si="246"/>
        <v>0</v>
      </c>
      <c r="AQ179" s="530">
        <f t="shared" si="262"/>
        <v>0</v>
      </c>
      <c r="AR179" s="527" t="s">
        <v>3</v>
      </c>
      <c r="AS179" s="527">
        <f>IF(ISNA(VLOOKUP($I179,Veg_Parameters!$A$3:$N$65,8,FALSE)), 0, (VLOOKUP($I179,Veg_Parameters!$A$3:$N$65,8,FALSE)))</f>
        <v>0</v>
      </c>
      <c r="AT179" s="527">
        <f>AB179*(IF(ISNA(VLOOKUP($I179,Veg_Parameters!$A$3:$N$65,9,FALSE)), 0, (VLOOKUP($I179,Veg_Parameters!$A$3:$N$65,9,FALSE))))</f>
        <v>0</v>
      </c>
      <c r="AU179" s="527">
        <f>IF(ISBLANK(A179),0,VLOOKUP($I179,Veg_Parameters!$A$4:$U$65,21,))</f>
        <v>0</v>
      </c>
      <c r="AV179" s="527">
        <f t="shared" si="263"/>
        <v>0</v>
      </c>
      <c r="AW179" s="529">
        <f t="shared" si="264"/>
        <v>0</v>
      </c>
      <c r="AX179" s="529">
        <f t="shared" si="265"/>
        <v>0</v>
      </c>
      <c r="AY179" s="529">
        <f t="shared" si="247"/>
        <v>0</v>
      </c>
      <c r="AZ179" s="529">
        <f t="shared" si="266"/>
        <v>0</v>
      </c>
      <c r="BA179" s="529">
        <f t="shared" si="267"/>
        <v>0</v>
      </c>
      <c r="BB179" s="529">
        <f t="shared" si="268"/>
        <v>0</v>
      </c>
      <c r="BC179" s="529">
        <f t="shared" si="248"/>
        <v>0</v>
      </c>
      <c r="BD179" s="531"/>
      <c r="BE179" s="527">
        <f>AH179*(IF(ISNA(VLOOKUP($N179,Veg_Parameters!$A$3:$N$65,5,FALSE)),0,(VLOOKUP($N179,Veg_Parameters!$A$3:$N$65,5,FALSE))))</f>
        <v>0</v>
      </c>
      <c r="BF179" s="527">
        <f>IF(ISNA(VLOOKUP($N179,Veg_Parameters!$A$3:$N$65,4,FALSE)),0,(VLOOKUP($N179,Veg_Parameters!$A$3:$N$65,4,FALSE)))</f>
        <v>0</v>
      </c>
      <c r="BG179" s="527">
        <f>AH179*(IF(ISNA(VLOOKUP($N179,Veg_Parameters!$A$3:$N$65,7,FALSE)),0, (VLOOKUP($N179,Veg_Parameters!$A$3:$N$65,7,FALSE))))</f>
        <v>0</v>
      </c>
      <c r="BH179" s="527">
        <f>IF(ISNA(VLOOKUP($N179,Veg_Parameters!$A$3:$N$65,6,FALSE)), 0, (VLOOKUP($N179,Veg_Parameters!$A$3:$N$65,6,FALSE)))</f>
        <v>0</v>
      </c>
      <c r="BI179" s="529">
        <f t="shared" si="249"/>
        <v>20</v>
      </c>
      <c r="BJ179" s="529">
        <f t="shared" si="269"/>
        <v>0</v>
      </c>
      <c r="BK179" s="529">
        <f t="shared" si="250"/>
        <v>0</v>
      </c>
      <c r="BL179" s="530">
        <f t="shared" si="270"/>
        <v>0</v>
      </c>
      <c r="BM179" s="527" t="s">
        <v>3</v>
      </c>
      <c r="BN179" s="527">
        <f>IF(ISNA(VLOOKUP(N179,Veg_Parameters!$A$3:$N$65,8,FALSE)), 0, (VLOOKUP($N179,Veg_Parameters!$A$3:$N$65,8,FALSE)))</f>
        <v>0</v>
      </c>
      <c r="BO179" s="527">
        <f>AH179*(IF(ISNA(VLOOKUP($N179,Veg_Parameters!$A$3:$N$65,9,FALSE)), 0, (VLOOKUP($N179,Veg_Parameters!$A$3:$N$65,9,FALSE))))</f>
        <v>0</v>
      </c>
      <c r="BP179" s="527" t="str">
        <f>IF(ISBLANK(N179),"0",VLOOKUP($N179,Veg_Parameters!$A$4:$U$65,21,))</f>
        <v>0</v>
      </c>
      <c r="BQ179" s="529">
        <f t="shared" si="271"/>
        <v>0</v>
      </c>
      <c r="BR179" s="529">
        <f t="shared" si="272"/>
        <v>0</v>
      </c>
      <c r="BS179" s="529">
        <f t="shared" si="251"/>
        <v>0</v>
      </c>
      <c r="BT179" s="529">
        <f t="shared" si="273"/>
        <v>0</v>
      </c>
      <c r="BU179" s="529">
        <f t="shared" si="274"/>
        <v>0</v>
      </c>
      <c r="BV179" s="529">
        <f t="shared" si="275"/>
        <v>0</v>
      </c>
      <c r="BW179" s="532" t="str">
        <f t="shared" si="252"/>
        <v/>
      </c>
      <c r="BX179" s="532" t="str">
        <f t="shared" si="253"/>
        <v/>
      </c>
      <c r="BY179" s="532" t="str">
        <f t="shared" si="254"/>
        <v/>
      </c>
      <c r="BZ179" s="532" t="str">
        <f t="shared" si="255"/>
        <v/>
      </c>
      <c r="CA179" s="532">
        <f t="shared" si="256"/>
        <v>0</v>
      </c>
      <c r="CB179" s="533"/>
      <c r="CC179" s="624">
        <f t="shared" si="257"/>
        <v>0</v>
      </c>
      <c r="CD179" s="534">
        <f t="shared" si="258"/>
        <v>0</v>
      </c>
      <c r="CE179" s="534">
        <f t="shared" si="259"/>
        <v>0</v>
      </c>
      <c r="CF179" s="534">
        <f t="shared" si="260"/>
        <v>0</v>
      </c>
      <c r="CG179" s="534"/>
      <c r="CH179" s="534"/>
      <c r="CI179" s="534">
        <f t="shared" si="276"/>
        <v>0</v>
      </c>
      <c r="CL179" s="534">
        <f>IF(ISNA(VLOOKUP(I179,Veg_Parameters!$A$3:$N$65,13,FALSE)),0,(VLOOKUP(I179,Veg_Parameters!$A$3:$N$65,13,FALSE)))</f>
        <v>0</v>
      </c>
      <c r="CM179" s="534">
        <f t="shared" si="277"/>
        <v>0</v>
      </c>
      <c r="CN179" s="534">
        <f>IF(ISNA(VLOOKUP(N179,Veg_Parameters!$A$3:$N$65,13,FALSE)),0,(VLOOKUP(N179,Veg_Parameters!$A$3:$N$65,13,FALSE)))</f>
        <v>0</v>
      </c>
      <c r="CO179" s="523">
        <f t="shared" si="278"/>
        <v>0</v>
      </c>
    </row>
    <row r="180" spans="1:93" x14ac:dyDescent="0.2">
      <c r="A180" s="227"/>
      <c r="B180" s="171" t="str">
        <f t="shared" si="279"/>
        <v/>
      </c>
      <c r="C180" s="230"/>
      <c r="D180" s="169"/>
      <c r="E180" s="165"/>
      <c r="F180" s="165"/>
      <c r="G180" s="165"/>
      <c r="H180" s="165"/>
      <c r="I180" s="168"/>
      <c r="J180" s="167"/>
      <c r="K180" s="168"/>
      <c r="L180" s="167"/>
      <c r="M180" s="167"/>
      <c r="N180" s="168"/>
      <c r="O180" s="168"/>
      <c r="P180" s="167"/>
      <c r="Q180" s="167"/>
      <c r="R180" s="167"/>
      <c r="S180" s="222" t="str">
        <f>IF(ISBLANK(A180),"",IF(ISNA(VLOOKUP(I180,Veg_Parameters!$A$3:$N$65,3,FALSE)),0,(VLOOKUP(I180,Veg_Parameters!$A$3:$N$65,3,FALSE))))</f>
        <v/>
      </c>
      <c r="T180" s="222" t="str">
        <f>IF(ISBLANK(N180),"",IF(ISNA(VLOOKUP(N180,Veg_Parameters!$A$3:$N$65,3,FALSE)),0,(VLOOKUP(N180,Veg_Parameters!$A$3:$N$65,3,FALSE))))</f>
        <v/>
      </c>
      <c r="U180" s="523">
        <f t="shared" si="261"/>
        <v>0</v>
      </c>
      <c r="V180" s="523">
        <f t="shared" si="237"/>
        <v>0</v>
      </c>
      <c r="W180" s="524">
        <f>IF(ISBLANK(A180),0,IF(ISNA(VLOOKUP($I180,Veg_Parameters!$A$3:$N$65,10,FALSE)),0,(VLOOKUP($I180,Veg_Parameters!$A$3:$N$65,10,FALSE))))</f>
        <v>0</v>
      </c>
      <c r="X180" s="524">
        <f>IF(ISBLANK(A180),0,IF(ISNA(VLOOKUP($I180,Veg_Parameters!$A$3:$N$65,11,FALSE)),0,(VLOOKUP($I180,Veg_Parameters!$A$3:$N$65,11,FALSE))))</f>
        <v>0</v>
      </c>
      <c r="Y180" s="524">
        <f>IF(ISBLANK(A180),0,IF(ISNA(VLOOKUP($I180,Veg_Parameters!$A$3:$N$65,12,FALSE)),0,(VLOOKUP($I180,Veg_Parameters!$A$3:$N$65,12,FALSE))))</f>
        <v>0</v>
      </c>
      <c r="Z180" s="525">
        <f t="shared" si="238"/>
        <v>0</v>
      </c>
      <c r="AA180" s="525">
        <f t="shared" si="239"/>
        <v>0</v>
      </c>
      <c r="AB180" s="525">
        <f t="shared" si="240"/>
        <v>0</v>
      </c>
      <c r="AC180" s="524">
        <f>IF(ISBLANK(N180),0,IF(ISNA(VLOOKUP($N180,Veg_Parameters!$A$3:$N$65,10,FALSE)),0,(VLOOKUP($N180,Veg_Parameters!$A$3:$N$65,10,FALSE))))</f>
        <v>0</v>
      </c>
      <c r="AD180" s="524">
        <f>IF(ISBLANK(N180),0,IF(ISNA(VLOOKUP($N180,Veg_Parameters!$A$3:$N$65,11,FALSE)),0,(VLOOKUP($N180,Veg_Parameters!$A$3:$N$65,11,FALSE))))</f>
        <v>0</v>
      </c>
      <c r="AE180" s="524">
        <f>IF(ISBLANK(N180), 0, IF(ISNA(VLOOKUP($N180,Veg_Parameters!$A$3:$N$65,12,FALSE)),0,(VLOOKUP($N180,Veg_Parameters!$A$3:$N$65,12,FALSE))))</f>
        <v>0</v>
      </c>
      <c r="AF180" s="523">
        <f t="shared" si="241"/>
        <v>0</v>
      </c>
      <c r="AG180" s="523">
        <f t="shared" si="242"/>
        <v>0</v>
      </c>
      <c r="AH180" s="523">
        <f t="shared" si="243"/>
        <v>0</v>
      </c>
      <c r="AI180" s="526"/>
      <c r="AJ180" s="527">
        <f>AB180*(IF(ISNA(VLOOKUP($I180,Veg_Parameters!$A$3:$N$65,5,FALSE)),0,(VLOOKUP($I180,Veg_Parameters!$A$3:$N$65,5,FALSE))))</f>
        <v>0</v>
      </c>
      <c r="AK180" s="527">
        <f>IF(ISNA(VLOOKUP($I180,Veg_Parameters!$A$3:$N$65,4,FALSE)),0,(VLOOKUP($I180,Veg_Parameters!$A$3:$N$65,4,FALSE)))</f>
        <v>0</v>
      </c>
      <c r="AL180" s="527">
        <f>AB180*(IF(ISNA(VLOOKUP($I180,Veg_Parameters!$A$3:$N$65,7,FALSE)),0, (VLOOKUP($I180,Veg_Parameters!$A$3:$N$65,7,FALSE))))</f>
        <v>0</v>
      </c>
      <c r="AM180" s="528">
        <f>IF(ISNA(VLOOKUP($I180,Veg_Parameters!$A$3:$N$65,6,FALSE)), 0, (VLOOKUP($I180,Veg_Parameters!$A$3:$N$65,6,FALSE)))</f>
        <v>0</v>
      </c>
      <c r="AN180" s="529">
        <f t="shared" si="244"/>
        <v>20</v>
      </c>
      <c r="AO180" s="529">
        <f t="shared" si="245"/>
        <v>0</v>
      </c>
      <c r="AP180" s="529">
        <f t="shared" si="246"/>
        <v>0</v>
      </c>
      <c r="AQ180" s="530">
        <f t="shared" si="262"/>
        <v>0</v>
      </c>
      <c r="AR180" s="527" t="s">
        <v>3</v>
      </c>
      <c r="AS180" s="527">
        <f>IF(ISNA(VLOOKUP($I180,Veg_Parameters!$A$3:$N$65,8,FALSE)), 0, (VLOOKUP($I180,Veg_Parameters!$A$3:$N$65,8,FALSE)))</f>
        <v>0</v>
      </c>
      <c r="AT180" s="527">
        <f>AB180*(IF(ISNA(VLOOKUP($I180,Veg_Parameters!$A$3:$N$65,9,FALSE)), 0, (VLOOKUP($I180,Veg_Parameters!$A$3:$N$65,9,FALSE))))</f>
        <v>0</v>
      </c>
      <c r="AU180" s="527">
        <f>IF(ISBLANK(A180),0,VLOOKUP($I180,Veg_Parameters!$A$4:$U$65,21,))</f>
        <v>0</v>
      </c>
      <c r="AV180" s="527">
        <f t="shared" si="263"/>
        <v>0</v>
      </c>
      <c r="AW180" s="529">
        <f t="shared" si="264"/>
        <v>0</v>
      </c>
      <c r="AX180" s="529">
        <f t="shared" si="265"/>
        <v>0</v>
      </c>
      <c r="AY180" s="529">
        <f t="shared" si="247"/>
        <v>0</v>
      </c>
      <c r="AZ180" s="529">
        <f t="shared" si="266"/>
        <v>0</v>
      </c>
      <c r="BA180" s="529">
        <f t="shared" si="267"/>
        <v>0</v>
      </c>
      <c r="BB180" s="529">
        <f t="shared" si="268"/>
        <v>0</v>
      </c>
      <c r="BC180" s="529">
        <f t="shared" si="248"/>
        <v>0</v>
      </c>
      <c r="BD180" s="531"/>
      <c r="BE180" s="527">
        <f>AH180*(IF(ISNA(VLOOKUP($N180,Veg_Parameters!$A$3:$N$65,5,FALSE)),0,(VLOOKUP($N180,Veg_Parameters!$A$3:$N$65,5,FALSE))))</f>
        <v>0</v>
      </c>
      <c r="BF180" s="527">
        <f>IF(ISNA(VLOOKUP($N180,Veg_Parameters!$A$3:$N$65,4,FALSE)),0,(VLOOKUP($N180,Veg_Parameters!$A$3:$N$65,4,FALSE)))</f>
        <v>0</v>
      </c>
      <c r="BG180" s="527">
        <f>AH180*(IF(ISNA(VLOOKUP($N180,Veg_Parameters!$A$3:$N$65,7,FALSE)),0, (VLOOKUP($N180,Veg_Parameters!$A$3:$N$65,7,FALSE))))</f>
        <v>0</v>
      </c>
      <c r="BH180" s="527">
        <f>IF(ISNA(VLOOKUP($N180,Veg_Parameters!$A$3:$N$65,6,FALSE)), 0, (VLOOKUP($N180,Veg_Parameters!$A$3:$N$65,6,FALSE)))</f>
        <v>0</v>
      </c>
      <c r="BI180" s="529">
        <f t="shared" si="249"/>
        <v>20</v>
      </c>
      <c r="BJ180" s="529">
        <f t="shared" si="269"/>
        <v>0</v>
      </c>
      <c r="BK180" s="529">
        <f t="shared" si="250"/>
        <v>0</v>
      </c>
      <c r="BL180" s="530">
        <f t="shared" si="270"/>
        <v>0</v>
      </c>
      <c r="BM180" s="527" t="s">
        <v>3</v>
      </c>
      <c r="BN180" s="527">
        <f>IF(ISNA(VLOOKUP(N180,Veg_Parameters!$A$3:$N$65,8,FALSE)), 0, (VLOOKUP($N180,Veg_Parameters!$A$3:$N$65,8,FALSE)))</f>
        <v>0</v>
      </c>
      <c r="BO180" s="527">
        <f>AH180*(IF(ISNA(VLOOKUP($N180,Veg_Parameters!$A$3:$N$65,9,FALSE)), 0, (VLOOKUP($N180,Veg_Parameters!$A$3:$N$65,9,FALSE))))</f>
        <v>0</v>
      </c>
      <c r="BP180" s="527" t="str">
        <f>IF(ISBLANK(N180),"0",VLOOKUP($N180,Veg_Parameters!$A$4:$U$65,21,))</f>
        <v>0</v>
      </c>
      <c r="BQ180" s="529">
        <f t="shared" si="271"/>
        <v>0</v>
      </c>
      <c r="BR180" s="529">
        <f t="shared" si="272"/>
        <v>0</v>
      </c>
      <c r="BS180" s="529">
        <f t="shared" si="251"/>
        <v>0</v>
      </c>
      <c r="BT180" s="529">
        <f t="shared" si="273"/>
        <v>0</v>
      </c>
      <c r="BU180" s="529">
        <f t="shared" si="274"/>
        <v>0</v>
      </c>
      <c r="BV180" s="529">
        <f t="shared" si="275"/>
        <v>0</v>
      </c>
      <c r="BW180" s="532" t="str">
        <f t="shared" si="252"/>
        <v/>
      </c>
      <c r="BX180" s="532" t="str">
        <f t="shared" si="253"/>
        <v/>
      </c>
      <c r="BY180" s="532" t="str">
        <f t="shared" si="254"/>
        <v/>
      </c>
      <c r="BZ180" s="532" t="str">
        <f t="shared" si="255"/>
        <v/>
      </c>
      <c r="CA180" s="532">
        <f t="shared" si="256"/>
        <v>0</v>
      </c>
      <c r="CB180" s="533"/>
      <c r="CC180" s="624">
        <f t="shared" si="257"/>
        <v>0</v>
      </c>
      <c r="CD180" s="534">
        <f t="shared" si="258"/>
        <v>0</v>
      </c>
      <c r="CE180" s="534">
        <f t="shared" si="259"/>
        <v>0</v>
      </c>
      <c r="CF180" s="534">
        <f t="shared" si="260"/>
        <v>0</v>
      </c>
      <c r="CG180" s="534"/>
      <c r="CH180" s="534"/>
      <c r="CI180" s="534">
        <f t="shared" si="276"/>
        <v>0</v>
      </c>
      <c r="CL180" s="534">
        <f>IF(ISNA(VLOOKUP(I180,Veg_Parameters!$A$3:$N$65,13,FALSE)),0,(VLOOKUP(I180,Veg_Parameters!$A$3:$N$65,13,FALSE)))</f>
        <v>0</v>
      </c>
      <c r="CM180" s="534">
        <f t="shared" si="277"/>
        <v>0</v>
      </c>
      <c r="CN180" s="534">
        <f>IF(ISNA(VLOOKUP(N180,Veg_Parameters!$A$3:$N$65,13,FALSE)),0,(VLOOKUP(N180,Veg_Parameters!$A$3:$N$65,13,FALSE)))</f>
        <v>0</v>
      </c>
      <c r="CO180" s="523">
        <f t="shared" si="278"/>
        <v>0</v>
      </c>
    </row>
    <row r="181" spans="1:93" x14ac:dyDescent="0.2">
      <c r="A181" s="227"/>
      <c r="B181" s="171" t="str">
        <f t="shared" si="279"/>
        <v/>
      </c>
      <c r="C181" s="230"/>
      <c r="D181" s="169"/>
      <c r="E181" s="165"/>
      <c r="F181" s="165"/>
      <c r="G181" s="165"/>
      <c r="H181" s="165"/>
      <c r="I181" s="168"/>
      <c r="J181" s="167"/>
      <c r="K181" s="168"/>
      <c r="L181" s="167"/>
      <c r="M181" s="167"/>
      <c r="N181" s="168"/>
      <c r="O181" s="168"/>
      <c r="P181" s="167"/>
      <c r="Q181" s="167"/>
      <c r="R181" s="167"/>
      <c r="S181" s="222" t="str">
        <f>IF(ISBLANK(A181),"",IF(ISNA(VLOOKUP(I181,Veg_Parameters!$A$3:$N$65,3,FALSE)),0,(VLOOKUP(I181,Veg_Parameters!$A$3:$N$65,3,FALSE))))</f>
        <v/>
      </c>
      <c r="T181" s="222" t="str">
        <f>IF(ISBLANK(N181),"",IF(ISNA(VLOOKUP(N181,Veg_Parameters!$A$3:$N$65,3,FALSE)),0,(VLOOKUP(N181,Veg_Parameters!$A$3:$N$65,3,FALSE))))</f>
        <v/>
      </c>
      <c r="U181" s="523">
        <f t="shared" si="261"/>
        <v>0</v>
      </c>
      <c r="V181" s="523">
        <f t="shared" si="237"/>
        <v>0</v>
      </c>
      <c r="W181" s="524">
        <f>IF(ISBLANK(A181),0,IF(ISNA(VLOOKUP($I181,Veg_Parameters!$A$3:$N$65,10,FALSE)),0,(VLOOKUP($I181,Veg_Parameters!$A$3:$N$65,10,FALSE))))</f>
        <v>0</v>
      </c>
      <c r="X181" s="524">
        <f>IF(ISBLANK(A181),0,IF(ISNA(VLOOKUP($I181,Veg_Parameters!$A$3:$N$65,11,FALSE)),0,(VLOOKUP($I181,Veg_Parameters!$A$3:$N$65,11,FALSE))))</f>
        <v>0</v>
      </c>
      <c r="Y181" s="524">
        <f>IF(ISBLANK(A181),0,IF(ISNA(VLOOKUP($I181,Veg_Parameters!$A$3:$N$65,12,FALSE)),0,(VLOOKUP($I181,Veg_Parameters!$A$3:$N$65,12,FALSE))))</f>
        <v>0</v>
      </c>
      <c r="Z181" s="525">
        <f t="shared" si="238"/>
        <v>0</v>
      </c>
      <c r="AA181" s="525">
        <f t="shared" si="239"/>
        <v>0</v>
      </c>
      <c r="AB181" s="525">
        <f t="shared" si="240"/>
        <v>0</v>
      </c>
      <c r="AC181" s="524">
        <f>IF(ISBLANK(N181),0,IF(ISNA(VLOOKUP($N181,Veg_Parameters!$A$3:$N$65,10,FALSE)),0,(VLOOKUP($N181,Veg_Parameters!$A$3:$N$65,10,FALSE))))</f>
        <v>0</v>
      </c>
      <c r="AD181" s="524">
        <f>IF(ISBLANK(N181),0,IF(ISNA(VLOOKUP($N181,Veg_Parameters!$A$3:$N$65,11,FALSE)),0,(VLOOKUP($N181,Veg_Parameters!$A$3:$N$65,11,FALSE))))</f>
        <v>0</v>
      </c>
      <c r="AE181" s="524">
        <f>IF(ISBLANK(N181), 0, IF(ISNA(VLOOKUP($N181,Veg_Parameters!$A$3:$N$65,12,FALSE)),0,(VLOOKUP($N181,Veg_Parameters!$A$3:$N$65,12,FALSE))))</f>
        <v>0</v>
      </c>
      <c r="AF181" s="523">
        <f t="shared" si="241"/>
        <v>0</v>
      </c>
      <c r="AG181" s="523">
        <f t="shared" si="242"/>
        <v>0</v>
      </c>
      <c r="AH181" s="523">
        <f t="shared" si="243"/>
        <v>0</v>
      </c>
      <c r="AI181" s="526"/>
      <c r="AJ181" s="527">
        <f>AB181*(IF(ISNA(VLOOKUP($I181,Veg_Parameters!$A$3:$N$65,5,FALSE)),0,(VLOOKUP($I181,Veg_Parameters!$A$3:$N$65,5,FALSE))))</f>
        <v>0</v>
      </c>
      <c r="AK181" s="527">
        <f>IF(ISNA(VLOOKUP($I181,Veg_Parameters!$A$3:$N$65,4,FALSE)),0,(VLOOKUP($I181,Veg_Parameters!$A$3:$N$65,4,FALSE)))</f>
        <v>0</v>
      </c>
      <c r="AL181" s="527">
        <f>AB181*(IF(ISNA(VLOOKUP($I181,Veg_Parameters!$A$3:$N$65,7,FALSE)),0, (VLOOKUP($I181,Veg_Parameters!$A$3:$N$65,7,FALSE))))</f>
        <v>0</v>
      </c>
      <c r="AM181" s="528">
        <f>IF(ISNA(VLOOKUP($I181,Veg_Parameters!$A$3:$N$65,6,FALSE)), 0, (VLOOKUP($I181,Veg_Parameters!$A$3:$N$65,6,FALSE)))</f>
        <v>0</v>
      </c>
      <c r="AN181" s="529">
        <f t="shared" si="244"/>
        <v>20</v>
      </c>
      <c r="AO181" s="529">
        <f t="shared" si="245"/>
        <v>0</v>
      </c>
      <c r="AP181" s="529">
        <f t="shared" si="246"/>
        <v>0</v>
      </c>
      <c r="AQ181" s="530">
        <f t="shared" si="262"/>
        <v>0</v>
      </c>
      <c r="AR181" s="527" t="s">
        <v>3</v>
      </c>
      <c r="AS181" s="527">
        <f>IF(ISNA(VLOOKUP($I181,Veg_Parameters!$A$3:$N$65,8,FALSE)), 0, (VLOOKUP($I181,Veg_Parameters!$A$3:$N$65,8,FALSE)))</f>
        <v>0</v>
      </c>
      <c r="AT181" s="527">
        <f>AB181*(IF(ISNA(VLOOKUP($I181,Veg_Parameters!$A$3:$N$65,9,FALSE)), 0, (VLOOKUP($I181,Veg_Parameters!$A$3:$N$65,9,FALSE))))</f>
        <v>0</v>
      </c>
      <c r="AU181" s="527">
        <f>IF(ISBLANK(A181),0,VLOOKUP($I181,Veg_Parameters!$A$4:$U$65,21,))</f>
        <v>0</v>
      </c>
      <c r="AV181" s="527">
        <f t="shared" si="263"/>
        <v>0</v>
      </c>
      <c r="AW181" s="529">
        <f t="shared" si="264"/>
        <v>0</v>
      </c>
      <c r="AX181" s="529">
        <f t="shared" si="265"/>
        <v>0</v>
      </c>
      <c r="AY181" s="529">
        <f t="shared" si="247"/>
        <v>0</v>
      </c>
      <c r="AZ181" s="529">
        <f t="shared" si="266"/>
        <v>0</v>
      </c>
      <c r="BA181" s="529">
        <f t="shared" si="267"/>
        <v>0</v>
      </c>
      <c r="BB181" s="529">
        <f t="shared" si="268"/>
        <v>0</v>
      </c>
      <c r="BC181" s="529">
        <f t="shared" si="248"/>
        <v>0</v>
      </c>
      <c r="BD181" s="531"/>
      <c r="BE181" s="527">
        <f>AH181*(IF(ISNA(VLOOKUP($N181,Veg_Parameters!$A$3:$N$65,5,FALSE)),0,(VLOOKUP($N181,Veg_Parameters!$A$3:$N$65,5,FALSE))))</f>
        <v>0</v>
      </c>
      <c r="BF181" s="527">
        <f>IF(ISNA(VLOOKUP($N181,Veg_Parameters!$A$3:$N$65,4,FALSE)),0,(VLOOKUP($N181,Veg_Parameters!$A$3:$N$65,4,FALSE)))</f>
        <v>0</v>
      </c>
      <c r="BG181" s="527">
        <f>AH181*(IF(ISNA(VLOOKUP($N181,Veg_Parameters!$A$3:$N$65,7,FALSE)),0, (VLOOKUP($N181,Veg_Parameters!$A$3:$N$65,7,FALSE))))</f>
        <v>0</v>
      </c>
      <c r="BH181" s="527">
        <f>IF(ISNA(VLOOKUP($N181,Veg_Parameters!$A$3:$N$65,6,FALSE)), 0, (VLOOKUP($N181,Veg_Parameters!$A$3:$N$65,6,FALSE)))</f>
        <v>0</v>
      </c>
      <c r="BI181" s="529">
        <f t="shared" si="249"/>
        <v>20</v>
      </c>
      <c r="BJ181" s="529">
        <f t="shared" si="269"/>
        <v>0</v>
      </c>
      <c r="BK181" s="529">
        <f t="shared" si="250"/>
        <v>0</v>
      </c>
      <c r="BL181" s="530">
        <f t="shared" si="270"/>
        <v>0</v>
      </c>
      <c r="BM181" s="527" t="s">
        <v>3</v>
      </c>
      <c r="BN181" s="527">
        <f>IF(ISNA(VLOOKUP(N181,Veg_Parameters!$A$3:$N$65,8,FALSE)), 0, (VLOOKUP($N181,Veg_Parameters!$A$3:$N$65,8,FALSE)))</f>
        <v>0</v>
      </c>
      <c r="BO181" s="527">
        <f>AH181*(IF(ISNA(VLOOKUP($N181,Veg_Parameters!$A$3:$N$65,9,FALSE)), 0, (VLOOKUP($N181,Veg_Parameters!$A$3:$N$65,9,FALSE))))</f>
        <v>0</v>
      </c>
      <c r="BP181" s="527" t="str">
        <f>IF(ISBLANK(N181),"0",VLOOKUP($N181,Veg_Parameters!$A$4:$U$65,21,))</f>
        <v>0</v>
      </c>
      <c r="BQ181" s="529">
        <f t="shared" si="271"/>
        <v>0</v>
      </c>
      <c r="BR181" s="529">
        <f t="shared" si="272"/>
        <v>0</v>
      </c>
      <c r="BS181" s="529">
        <f t="shared" si="251"/>
        <v>0</v>
      </c>
      <c r="BT181" s="529">
        <f t="shared" si="273"/>
        <v>0</v>
      </c>
      <c r="BU181" s="529">
        <f t="shared" si="274"/>
        <v>0</v>
      </c>
      <c r="BV181" s="529">
        <f t="shared" si="275"/>
        <v>0</v>
      </c>
      <c r="BW181" s="532" t="str">
        <f t="shared" si="252"/>
        <v/>
      </c>
      <c r="BX181" s="532" t="str">
        <f t="shared" si="253"/>
        <v/>
      </c>
      <c r="BY181" s="532" t="str">
        <f t="shared" si="254"/>
        <v/>
      </c>
      <c r="BZ181" s="532" t="str">
        <f t="shared" si="255"/>
        <v/>
      </c>
      <c r="CA181" s="532">
        <f t="shared" si="256"/>
        <v>0</v>
      </c>
      <c r="CB181" s="533"/>
      <c r="CC181" s="624">
        <f t="shared" si="257"/>
        <v>0</v>
      </c>
      <c r="CD181" s="534">
        <f t="shared" si="258"/>
        <v>0</v>
      </c>
      <c r="CE181" s="534">
        <f t="shared" si="259"/>
        <v>0</v>
      </c>
      <c r="CF181" s="534">
        <f t="shared" si="260"/>
        <v>0</v>
      </c>
      <c r="CG181" s="534"/>
      <c r="CH181" s="534"/>
      <c r="CI181" s="534">
        <f t="shared" si="276"/>
        <v>0</v>
      </c>
      <c r="CL181" s="534">
        <f>IF(ISNA(VLOOKUP(I181,Veg_Parameters!$A$3:$N$65,13,FALSE)),0,(VLOOKUP(I181,Veg_Parameters!$A$3:$N$65,13,FALSE)))</f>
        <v>0</v>
      </c>
      <c r="CM181" s="534">
        <f t="shared" si="277"/>
        <v>0</v>
      </c>
      <c r="CN181" s="534">
        <f>IF(ISNA(VLOOKUP(N181,Veg_Parameters!$A$3:$N$65,13,FALSE)),0,(VLOOKUP(N181,Veg_Parameters!$A$3:$N$65,13,FALSE)))</f>
        <v>0</v>
      </c>
      <c r="CO181" s="523">
        <f t="shared" si="278"/>
        <v>0</v>
      </c>
    </row>
    <row r="182" spans="1:93" x14ac:dyDescent="0.2">
      <c r="A182" s="227"/>
      <c r="B182" s="171" t="str">
        <f t="shared" si="279"/>
        <v/>
      </c>
      <c r="C182" s="230"/>
      <c r="D182" s="169"/>
      <c r="E182" s="165"/>
      <c r="F182" s="165"/>
      <c r="G182" s="165"/>
      <c r="H182" s="165"/>
      <c r="I182" s="168"/>
      <c r="J182" s="167"/>
      <c r="K182" s="168"/>
      <c r="L182" s="167"/>
      <c r="M182" s="167"/>
      <c r="N182" s="168"/>
      <c r="O182" s="168"/>
      <c r="P182" s="167"/>
      <c r="Q182" s="167"/>
      <c r="R182" s="167"/>
      <c r="S182" s="222" t="str">
        <f>IF(ISBLANK(A182),"",IF(ISNA(VLOOKUP(I182,Veg_Parameters!$A$3:$N$65,3,FALSE)),0,(VLOOKUP(I182,Veg_Parameters!$A$3:$N$65,3,FALSE))))</f>
        <v/>
      </c>
      <c r="T182" s="222" t="str">
        <f>IF(ISBLANK(N182),"",IF(ISNA(VLOOKUP(N182,Veg_Parameters!$A$3:$N$65,3,FALSE)),0,(VLOOKUP(N182,Veg_Parameters!$A$3:$N$65,3,FALSE))))</f>
        <v/>
      </c>
      <c r="U182" s="523">
        <f t="shared" si="261"/>
        <v>0</v>
      </c>
      <c r="V182" s="523">
        <f t="shared" si="237"/>
        <v>0</v>
      </c>
      <c r="W182" s="524">
        <f>IF(ISBLANK(A182),0,IF(ISNA(VLOOKUP($I182,Veg_Parameters!$A$3:$N$65,10,FALSE)),0,(VLOOKUP($I182,Veg_Parameters!$A$3:$N$65,10,FALSE))))</f>
        <v>0</v>
      </c>
      <c r="X182" s="524">
        <f>IF(ISBLANK(A182),0,IF(ISNA(VLOOKUP($I182,Veg_Parameters!$A$3:$N$65,11,FALSE)),0,(VLOOKUP($I182,Veg_Parameters!$A$3:$N$65,11,FALSE))))</f>
        <v>0</v>
      </c>
      <c r="Y182" s="524">
        <f>IF(ISBLANK(A182),0,IF(ISNA(VLOOKUP($I182,Veg_Parameters!$A$3:$N$65,12,FALSE)),0,(VLOOKUP($I182,Veg_Parameters!$A$3:$N$65,12,FALSE))))</f>
        <v>0</v>
      </c>
      <c r="Z182" s="525">
        <f t="shared" si="238"/>
        <v>0</v>
      </c>
      <c r="AA182" s="525">
        <f t="shared" si="239"/>
        <v>0</v>
      </c>
      <c r="AB182" s="525">
        <f t="shared" si="240"/>
        <v>0</v>
      </c>
      <c r="AC182" s="524">
        <f>IF(ISBLANK(N182),0,IF(ISNA(VLOOKUP($N182,Veg_Parameters!$A$3:$N$65,10,FALSE)),0,(VLOOKUP($N182,Veg_Parameters!$A$3:$N$65,10,FALSE))))</f>
        <v>0</v>
      </c>
      <c r="AD182" s="524">
        <f>IF(ISBLANK(N182),0,IF(ISNA(VLOOKUP($N182,Veg_Parameters!$A$3:$N$65,11,FALSE)),0,(VLOOKUP($N182,Veg_Parameters!$A$3:$N$65,11,FALSE))))</f>
        <v>0</v>
      </c>
      <c r="AE182" s="524">
        <f>IF(ISBLANK(N182), 0, IF(ISNA(VLOOKUP($N182,Veg_Parameters!$A$3:$N$65,12,FALSE)),0,(VLOOKUP($N182,Veg_Parameters!$A$3:$N$65,12,FALSE))))</f>
        <v>0</v>
      </c>
      <c r="AF182" s="523">
        <f t="shared" si="241"/>
        <v>0</v>
      </c>
      <c r="AG182" s="523">
        <f t="shared" si="242"/>
        <v>0</v>
      </c>
      <c r="AH182" s="523">
        <f t="shared" si="243"/>
        <v>0</v>
      </c>
      <c r="AI182" s="526"/>
      <c r="AJ182" s="527">
        <f>AB182*(IF(ISNA(VLOOKUP($I182,Veg_Parameters!$A$3:$N$65,5,FALSE)),0,(VLOOKUP($I182,Veg_Parameters!$A$3:$N$65,5,FALSE))))</f>
        <v>0</v>
      </c>
      <c r="AK182" s="527">
        <f>IF(ISNA(VLOOKUP($I182,Veg_Parameters!$A$3:$N$65,4,FALSE)),0,(VLOOKUP($I182,Veg_Parameters!$A$3:$N$65,4,FALSE)))</f>
        <v>0</v>
      </c>
      <c r="AL182" s="527">
        <f>AB182*(IF(ISNA(VLOOKUP($I182,Veg_Parameters!$A$3:$N$65,7,FALSE)),0, (VLOOKUP($I182,Veg_Parameters!$A$3:$N$65,7,FALSE))))</f>
        <v>0</v>
      </c>
      <c r="AM182" s="528">
        <f>IF(ISNA(VLOOKUP($I182,Veg_Parameters!$A$3:$N$65,6,FALSE)), 0, (VLOOKUP($I182,Veg_Parameters!$A$3:$N$65,6,FALSE)))</f>
        <v>0</v>
      </c>
      <c r="AN182" s="529">
        <f t="shared" si="244"/>
        <v>20</v>
      </c>
      <c r="AO182" s="529">
        <f t="shared" si="245"/>
        <v>0</v>
      </c>
      <c r="AP182" s="529">
        <f t="shared" si="246"/>
        <v>0</v>
      </c>
      <c r="AQ182" s="530">
        <f t="shared" si="262"/>
        <v>0</v>
      </c>
      <c r="AR182" s="527" t="s">
        <v>3</v>
      </c>
      <c r="AS182" s="527">
        <f>IF(ISNA(VLOOKUP($I182,Veg_Parameters!$A$3:$N$65,8,FALSE)), 0, (VLOOKUP($I182,Veg_Parameters!$A$3:$N$65,8,FALSE)))</f>
        <v>0</v>
      </c>
      <c r="AT182" s="527">
        <f>AB182*(IF(ISNA(VLOOKUP($I182,Veg_Parameters!$A$3:$N$65,9,FALSE)), 0, (VLOOKUP($I182,Veg_Parameters!$A$3:$N$65,9,FALSE))))</f>
        <v>0</v>
      </c>
      <c r="AU182" s="527">
        <f>IF(ISBLANK(A182),0,VLOOKUP($I182,Veg_Parameters!$A$4:$U$65,21,))</f>
        <v>0</v>
      </c>
      <c r="AV182" s="527">
        <f t="shared" si="263"/>
        <v>0</v>
      </c>
      <c r="AW182" s="529">
        <f t="shared" si="264"/>
        <v>0</v>
      </c>
      <c r="AX182" s="529">
        <f t="shared" si="265"/>
        <v>0</v>
      </c>
      <c r="AY182" s="529">
        <f t="shared" si="247"/>
        <v>0</v>
      </c>
      <c r="AZ182" s="529">
        <f t="shared" si="266"/>
        <v>0</v>
      </c>
      <c r="BA182" s="529">
        <f t="shared" si="267"/>
        <v>0</v>
      </c>
      <c r="BB182" s="529">
        <f t="shared" si="268"/>
        <v>0</v>
      </c>
      <c r="BC182" s="529">
        <f t="shared" si="248"/>
        <v>0</v>
      </c>
      <c r="BD182" s="531"/>
      <c r="BE182" s="527">
        <f>AH182*(IF(ISNA(VLOOKUP($N182,Veg_Parameters!$A$3:$N$65,5,FALSE)),0,(VLOOKUP($N182,Veg_Parameters!$A$3:$N$65,5,FALSE))))</f>
        <v>0</v>
      </c>
      <c r="BF182" s="527">
        <f>IF(ISNA(VLOOKUP($N182,Veg_Parameters!$A$3:$N$65,4,FALSE)),0,(VLOOKUP($N182,Veg_Parameters!$A$3:$N$65,4,FALSE)))</f>
        <v>0</v>
      </c>
      <c r="BG182" s="527">
        <f>AH182*(IF(ISNA(VLOOKUP($N182,Veg_Parameters!$A$3:$N$65,7,FALSE)),0, (VLOOKUP($N182,Veg_Parameters!$A$3:$N$65,7,FALSE))))</f>
        <v>0</v>
      </c>
      <c r="BH182" s="527">
        <f>IF(ISNA(VLOOKUP($N182,Veg_Parameters!$A$3:$N$65,6,FALSE)), 0, (VLOOKUP($N182,Veg_Parameters!$A$3:$N$65,6,FALSE)))</f>
        <v>0</v>
      </c>
      <c r="BI182" s="529">
        <f t="shared" si="249"/>
        <v>20</v>
      </c>
      <c r="BJ182" s="529">
        <f t="shared" si="269"/>
        <v>0</v>
      </c>
      <c r="BK182" s="529">
        <f t="shared" si="250"/>
        <v>0</v>
      </c>
      <c r="BL182" s="530">
        <f t="shared" si="270"/>
        <v>0</v>
      </c>
      <c r="BM182" s="527" t="s">
        <v>3</v>
      </c>
      <c r="BN182" s="527">
        <f>IF(ISNA(VLOOKUP(N182,Veg_Parameters!$A$3:$N$65,8,FALSE)), 0, (VLOOKUP($N182,Veg_Parameters!$A$3:$N$65,8,FALSE)))</f>
        <v>0</v>
      </c>
      <c r="BO182" s="527">
        <f>AH182*(IF(ISNA(VLOOKUP($N182,Veg_Parameters!$A$3:$N$65,9,FALSE)), 0, (VLOOKUP($N182,Veg_Parameters!$A$3:$N$65,9,FALSE))))</f>
        <v>0</v>
      </c>
      <c r="BP182" s="527" t="str">
        <f>IF(ISBLANK(N182),"0",VLOOKUP($N182,Veg_Parameters!$A$4:$U$65,21,))</f>
        <v>0</v>
      </c>
      <c r="BQ182" s="529">
        <f t="shared" si="271"/>
        <v>0</v>
      </c>
      <c r="BR182" s="529">
        <f t="shared" si="272"/>
        <v>0</v>
      </c>
      <c r="BS182" s="529">
        <f t="shared" si="251"/>
        <v>0</v>
      </c>
      <c r="BT182" s="529">
        <f t="shared" si="273"/>
        <v>0</v>
      </c>
      <c r="BU182" s="529">
        <f t="shared" si="274"/>
        <v>0</v>
      </c>
      <c r="BV182" s="529">
        <f t="shared" si="275"/>
        <v>0</v>
      </c>
      <c r="BW182" s="532" t="str">
        <f t="shared" si="252"/>
        <v/>
      </c>
      <c r="BX182" s="532" t="str">
        <f t="shared" si="253"/>
        <v/>
      </c>
      <c r="BY182" s="532" t="str">
        <f t="shared" si="254"/>
        <v/>
      </c>
      <c r="BZ182" s="532" t="str">
        <f t="shared" si="255"/>
        <v/>
      </c>
      <c r="CA182" s="532">
        <f t="shared" si="256"/>
        <v>0</v>
      </c>
      <c r="CB182" s="533"/>
      <c r="CC182" s="624">
        <f t="shared" si="257"/>
        <v>0</v>
      </c>
      <c r="CD182" s="534">
        <f t="shared" si="258"/>
        <v>0</v>
      </c>
      <c r="CE182" s="534">
        <f t="shared" si="259"/>
        <v>0</v>
      </c>
      <c r="CF182" s="534">
        <f t="shared" si="260"/>
        <v>0</v>
      </c>
      <c r="CG182" s="534"/>
      <c r="CH182" s="534"/>
      <c r="CI182" s="534">
        <f t="shared" si="276"/>
        <v>0</v>
      </c>
      <c r="CL182" s="534">
        <f>IF(ISNA(VLOOKUP(I182,Veg_Parameters!$A$3:$N$65,13,FALSE)),0,(VLOOKUP(I182,Veg_Parameters!$A$3:$N$65,13,FALSE)))</f>
        <v>0</v>
      </c>
      <c r="CM182" s="534">
        <f t="shared" si="277"/>
        <v>0</v>
      </c>
      <c r="CN182" s="534">
        <f>IF(ISNA(VLOOKUP(N182,Veg_Parameters!$A$3:$N$65,13,FALSE)),0,(VLOOKUP(N182,Veg_Parameters!$A$3:$N$65,13,FALSE)))</f>
        <v>0</v>
      </c>
      <c r="CO182" s="523">
        <f t="shared" si="278"/>
        <v>0</v>
      </c>
    </row>
    <row r="183" spans="1:93" x14ac:dyDescent="0.2">
      <c r="A183" s="227"/>
      <c r="B183" s="171" t="str">
        <f t="shared" si="279"/>
        <v/>
      </c>
      <c r="C183" s="230"/>
      <c r="D183" s="169"/>
      <c r="E183" s="165"/>
      <c r="F183" s="165"/>
      <c r="G183" s="165"/>
      <c r="H183" s="165"/>
      <c r="I183" s="168"/>
      <c r="J183" s="167"/>
      <c r="K183" s="168"/>
      <c r="L183" s="167"/>
      <c r="M183" s="167"/>
      <c r="N183" s="168"/>
      <c r="O183" s="168"/>
      <c r="P183" s="167"/>
      <c r="Q183" s="167"/>
      <c r="R183" s="167"/>
      <c r="S183" s="222" t="str">
        <f>IF(ISBLANK(A183),"",IF(ISNA(VLOOKUP(I183,Veg_Parameters!$A$3:$N$65,3,FALSE)),0,(VLOOKUP(I183,Veg_Parameters!$A$3:$N$65,3,FALSE))))</f>
        <v/>
      </c>
      <c r="T183" s="222" t="str">
        <f>IF(ISBLANK(N183),"",IF(ISNA(VLOOKUP(N183,Veg_Parameters!$A$3:$N$65,3,FALSE)),0,(VLOOKUP(N183,Veg_Parameters!$A$3:$N$65,3,FALSE))))</f>
        <v/>
      </c>
      <c r="U183" s="523">
        <f t="shared" si="261"/>
        <v>0</v>
      </c>
      <c r="V183" s="523">
        <f t="shared" si="237"/>
        <v>0</v>
      </c>
      <c r="W183" s="524">
        <f>IF(ISBLANK(A183),0,IF(ISNA(VLOOKUP($I183,Veg_Parameters!$A$3:$N$65,10,FALSE)),0,(VLOOKUP($I183,Veg_Parameters!$A$3:$N$65,10,FALSE))))</f>
        <v>0</v>
      </c>
      <c r="X183" s="524">
        <f>IF(ISBLANK(A183),0,IF(ISNA(VLOOKUP($I183,Veg_Parameters!$A$3:$N$65,11,FALSE)),0,(VLOOKUP($I183,Veg_Parameters!$A$3:$N$65,11,FALSE))))</f>
        <v>0</v>
      </c>
      <c r="Y183" s="524">
        <f>IF(ISBLANK(A183),0,IF(ISNA(VLOOKUP($I183,Veg_Parameters!$A$3:$N$65,12,FALSE)),0,(VLOOKUP($I183,Veg_Parameters!$A$3:$N$65,12,FALSE))))</f>
        <v>0</v>
      </c>
      <c r="Z183" s="525">
        <f t="shared" si="238"/>
        <v>0</v>
      </c>
      <c r="AA183" s="525">
        <f t="shared" si="239"/>
        <v>0</v>
      </c>
      <c r="AB183" s="525">
        <f t="shared" si="240"/>
        <v>0</v>
      </c>
      <c r="AC183" s="524">
        <f>IF(ISBLANK(N183),0,IF(ISNA(VLOOKUP($N183,Veg_Parameters!$A$3:$N$65,10,FALSE)),0,(VLOOKUP($N183,Veg_Parameters!$A$3:$N$65,10,FALSE))))</f>
        <v>0</v>
      </c>
      <c r="AD183" s="524">
        <f>IF(ISBLANK(N183),0,IF(ISNA(VLOOKUP($N183,Veg_Parameters!$A$3:$N$65,11,FALSE)),0,(VLOOKUP($N183,Veg_Parameters!$A$3:$N$65,11,FALSE))))</f>
        <v>0</v>
      </c>
      <c r="AE183" s="524">
        <f>IF(ISBLANK(N183), 0, IF(ISNA(VLOOKUP($N183,Veg_Parameters!$A$3:$N$65,12,FALSE)),0,(VLOOKUP($N183,Veg_Parameters!$A$3:$N$65,12,FALSE))))</f>
        <v>0</v>
      </c>
      <c r="AF183" s="523">
        <f t="shared" si="241"/>
        <v>0</v>
      </c>
      <c r="AG183" s="523">
        <f t="shared" si="242"/>
        <v>0</v>
      </c>
      <c r="AH183" s="523">
        <f t="shared" si="243"/>
        <v>0</v>
      </c>
      <c r="AI183" s="526"/>
      <c r="AJ183" s="527">
        <f>AB183*(IF(ISNA(VLOOKUP($I183,Veg_Parameters!$A$3:$N$65,5,FALSE)),0,(VLOOKUP($I183,Veg_Parameters!$A$3:$N$65,5,FALSE))))</f>
        <v>0</v>
      </c>
      <c r="AK183" s="527">
        <f>IF(ISNA(VLOOKUP($I183,Veg_Parameters!$A$3:$N$65,4,FALSE)),0,(VLOOKUP($I183,Veg_Parameters!$A$3:$N$65,4,FALSE)))</f>
        <v>0</v>
      </c>
      <c r="AL183" s="527">
        <f>AB183*(IF(ISNA(VLOOKUP($I183,Veg_Parameters!$A$3:$N$65,7,FALSE)),0, (VLOOKUP($I183,Veg_Parameters!$A$3:$N$65,7,FALSE))))</f>
        <v>0</v>
      </c>
      <c r="AM183" s="528">
        <f>IF(ISNA(VLOOKUP($I183,Veg_Parameters!$A$3:$N$65,6,FALSE)), 0, (VLOOKUP($I183,Veg_Parameters!$A$3:$N$65,6,FALSE)))</f>
        <v>0</v>
      </c>
      <c r="AN183" s="529">
        <f t="shared" si="244"/>
        <v>20</v>
      </c>
      <c r="AO183" s="529">
        <f t="shared" si="245"/>
        <v>0</v>
      </c>
      <c r="AP183" s="529">
        <f t="shared" si="246"/>
        <v>0</v>
      </c>
      <c r="AQ183" s="530">
        <f t="shared" si="262"/>
        <v>0</v>
      </c>
      <c r="AR183" s="527" t="s">
        <v>3</v>
      </c>
      <c r="AS183" s="527">
        <f>IF(ISNA(VLOOKUP($I183,Veg_Parameters!$A$3:$N$65,8,FALSE)), 0, (VLOOKUP($I183,Veg_Parameters!$A$3:$N$65,8,FALSE)))</f>
        <v>0</v>
      </c>
      <c r="AT183" s="527">
        <f>AB183*(IF(ISNA(VLOOKUP($I183,Veg_Parameters!$A$3:$N$65,9,FALSE)), 0, (VLOOKUP($I183,Veg_Parameters!$A$3:$N$65,9,FALSE))))</f>
        <v>0</v>
      </c>
      <c r="AU183" s="527">
        <f>IF(ISBLANK(A183),0,VLOOKUP($I183,Veg_Parameters!$A$4:$U$65,21,))</f>
        <v>0</v>
      </c>
      <c r="AV183" s="527">
        <f t="shared" si="263"/>
        <v>0</v>
      </c>
      <c r="AW183" s="529">
        <f t="shared" si="264"/>
        <v>0</v>
      </c>
      <c r="AX183" s="529">
        <f t="shared" si="265"/>
        <v>0</v>
      </c>
      <c r="AY183" s="529">
        <f t="shared" si="247"/>
        <v>0</v>
      </c>
      <c r="AZ183" s="529">
        <f t="shared" si="266"/>
        <v>0</v>
      </c>
      <c r="BA183" s="529">
        <f t="shared" si="267"/>
        <v>0</v>
      </c>
      <c r="BB183" s="529">
        <f t="shared" si="268"/>
        <v>0</v>
      </c>
      <c r="BC183" s="529">
        <f t="shared" si="248"/>
        <v>0</v>
      </c>
      <c r="BD183" s="531"/>
      <c r="BE183" s="527">
        <f>AH183*(IF(ISNA(VLOOKUP($N183,Veg_Parameters!$A$3:$N$65,5,FALSE)),0,(VLOOKUP($N183,Veg_Parameters!$A$3:$N$65,5,FALSE))))</f>
        <v>0</v>
      </c>
      <c r="BF183" s="527">
        <f>IF(ISNA(VLOOKUP($N183,Veg_Parameters!$A$3:$N$65,4,FALSE)),0,(VLOOKUP($N183,Veg_Parameters!$A$3:$N$65,4,FALSE)))</f>
        <v>0</v>
      </c>
      <c r="BG183" s="527">
        <f>AH183*(IF(ISNA(VLOOKUP($N183,Veg_Parameters!$A$3:$N$65,7,FALSE)),0, (VLOOKUP($N183,Veg_Parameters!$A$3:$N$65,7,FALSE))))</f>
        <v>0</v>
      </c>
      <c r="BH183" s="527">
        <f>IF(ISNA(VLOOKUP($N183,Veg_Parameters!$A$3:$N$65,6,FALSE)), 0, (VLOOKUP($N183,Veg_Parameters!$A$3:$N$65,6,FALSE)))</f>
        <v>0</v>
      </c>
      <c r="BI183" s="529">
        <f t="shared" si="249"/>
        <v>20</v>
      </c>
      <c r="BJ183" s="529">
        <f t="shared" si="269"/>
        <v>0</v>
      </c>
      <c r="BK183" s="529">
        <f t="shared" si="250"/>
        <v>0</v>
      </c>
      <c r="BL183" s="530">
        <f t="shared" si="270"/>
        <v>0</v>
      </c>
      <c r="BM183" s="527" t="s">
        <v>3</v>
      </c>
      <c r="BN183" s="527">
        <f>IF(ISNA(VLOOKUP(N183,Veg_Parameters!$A$3:$N$65,8,FALSE)), 0, (VLOOKUP($N183,Veg_Parameters!$A$3:$N$65,8,FALSE)))</f>
        <v>0</v>
      </c>
      <c r="BO183" s="527">
        <f>AH183*(IF(ISNA(VLOOKUP($N183,Veg_Parameters!$A$3:$N$65,9,FALSE)), 0, (VLOOKUP($N183,Veg_Parameters!$A$3:$N$65,9,FALSE))))</f>
        <v>0</v>
      </c>
      <c r="BP183" s="527" t="str">
        <f>IF(ISBLANK(N183),"0",VLOOKUP($N183,Veg_Parameters!$A$4:$U$65,21,))</f>
        <v>0</v>
      </c>
      <c r="BQ183" s="529">
        <f t="shared" si="271"/>
        <v>0</v>
      </c>
      <c r="BR183" s="529">
        <f t="shared" si="272"/>
        <v>0</v>
      </c>
      <c r="BS183" s="529">
        <f t="shared" si="251"/>
        <v>0</v>
      </c>
      <c r="BT183" s="529">
        <f t="shared" si="273"/>
        <v>0</v>
      </c>
      <c r="BU183" s="529">
        <f t="shared" si="274"/>
        <v>0</v>
      </c>
      <c r="BV183" s="529">
        <f t="shared" si="275"/>
        <v>0</v>
      </c>
      <c r="BW183" s="532" t="str">
        <f t="shared" si="252"/>
        <v/>
      </c>
      <c r="BX183" s="532" t="str">
        <f t="shared" si="253"/>
        <v/>
      </c>
      <c r="BY183" s="532" t="str">
        <f t="shared" si="254"/>
        <v/>
      </c>
      <c r="BZ183" s="532" t="str">
        <f t="shared" si="255"/>
        <v/>
      </c>
      <c r="CA183" s="532">
        <f t="shared" si="256"/>
        <v>0</v>
      </c>
      <c r="CB183" s="533"/>
      <c r="CC183" s="624">
        <f t="shared" si="257"/>
        <v>0</v>
      </c>
      <c r="CD183" s="534">
        <f t="shared" si="258"/>
        <v>0</v>
      </c>
      <c r="CE183" s="534">
        <f t="shared" si="259"/>
        <v>0</v>
      </c>
      <c r="CF183" s="534">
        <f t="shared" si="260"/>
        <v>0</v>
      </c>
      <c r="CG183" s="534"/>
      <c r="CH183" s="534"/>
      <c r="CI183" s="534">
        <f t="shared" si="276"/>
        <v>0</v>
      </c>
      <c r="CL183" s="534">
        <f>IF(ISNA(VLOOKUP(I183,Veg_Parameters!$A$3:$N$65,13,FALSE)),0,(VLOOKUP(I183,Veg_Parameters!$A$3:$N$65,13,FALSE)))</f>
        <v>0</v>
      </c>
      <c r="CM183" s="534">
        <f t="shared" si="277"/>
        <v>0</v>
      </c>
      <c r="CN183" s="534">
        <f>IF(ISNA(VLOOKUP(N183,Veg_Parameters!$A$3:$N$65,13,FALSE)),0,(VLOOKUP(N183,Veg_Parameters!$A$3:$N$65,13,FALSE)))</f>
        <v>0</v>
      </c>
      <c r="CO183" s="523">
        <f t="shared" si="278"/>
        <v>0</v>
      </c>
    </row>
    <row r="184" spans="1:93" x14ac:dyDescent="0.2">
      <c r="A184" s="227"/>
      <c r="B184" s="171" t="str">
        <f t="shared" si="279"/>
        <v/>
      </c>
      <c r="C184" s="230"/>
      <c r="D184" s="169"/>
      <c r="E184" s="165"/>
      <c r="F184" s="165"/>
      <c r="G184" s="165"/>
      <c r="H184" s="165"/>
      <c r="I184" s="168"/>
      <c r="J184" s="167"/>
      <c r="K184" s="168"/>
      <c r="L184" s="167"/>
      <c r="M184" s="167"/>
      <c r="N184" s="168"/>
      <c r="O184" s="168"/>
      <c r="P184" s="167"/>
      <c r="Q184" s="167"/>
      <c r="R184" s="167"/>
      <c r="S184" s="222" t="str">
        <f>IF(ISBLANK(A184),"",IF(ISNA(VLOOKUP(I184,Veg_Parameters!$A$3:$N$65,3,FALSE)),0,(VLOOKUP(I184,Veg_Parameters!$A$3:$N$65,3,FALSE))))</f>
        <v/>
      </c>
      <c r="T184" s="222" t="str">
        <f>IF(ISBLANK(N184),"",IF(ISNA(VLOOKUP(N184,Veg_Parameters!$A$3:$N$65,3,FALSE)),0,(VLOOKUP(N184,Veg_Parameters!$A$3:$N$65,3,FALSE))))</f>
        <v/>
      </c>
      <c r="U184" s="523">
        <f t="shared" si="261"/>
        <v>0</v>
      </c>
      <c r="V184" s="523">
        <f t="shared" si="237"/>
        <v>0</v>
      </c>
      <c r="W184" s="524">
        <f>IF(ISBLANK(A184),0,IF(ISNA(VLOOKUP($I184,Veg_Parameters!$A$3:$N$65,10,FALSE)),0,(VLOOKUP($I184,Veg_Parameters!$A$3:$N$65,10,FALSE))))</f>
        <v>0</v>
      </c>
      <c r="X184" s="524">
        <f>IF(ISBLANK(A184),0,IF(ISNA(VLOOKUP($I184,Veg_Parameters!$A$3:$N$65,11,FALSE)),0,(VLOOKUP($I184,Veg_Parameters!$A$3:$N$65,11,FALSE))))</f>
        <v>0</v>
      </c>
      <c r="Y184" s="524">
        <f>IF(ISBLANK(A184),0,IF(ISNA(VLOOKUP($I184,Veg_Parameters!$A$3:$N$65,12,FALSE)),0,(VLOOKUP($I184,Veg_Parameters!$A$3:$N$65,12,FALSE))))</f>
        <v>0</v>
      </c>
      <c r="Z184" s="525">
        <f t="shared" si="238"/>
        <v>0</v>
      </c>
      <c r="AA184" s="525">
        <f t="shared" si="239"/>
        <v>0</v>
      </c>
      <c r="AB184" s="525">
        <f t="shared" si="240"/>
        <v>0</v>
      </c>
      <c r="AC184" s="524">
        <f>IF(ISBLANK(N184),0,IF(ISNA(VLOOKUP($N184,Veg_Parameters!$A$3:$N$65,10,FALSE)),0,(VLOOKUP($N184,Veg_Parameters!$A$3:$N$65,10,FALSE))))</f>
        <v>0</v>
      </c>
      <c r="AD184" s="524">
        <f>IF(ISBLANK(N184),0,IF(ISNA(VLOOKUP($N184,Veg_Parameters!$A$3:$N$65,11,FALSE)),0,(VLOOKUP($N184,Veg_Parameters!$A$3:$N$65,11,FALSE))))</f>
        <v>0</v>
      </c>
      <c r="AE184" s="524">
        <f>IF(ISBLANK(N184), 0, IF(ISNA(VLOOKUP($N184,Veg_Parameters!$A$3:$N$65,12,FALSE)),0,(VLOOKUP($N184,Veg_Parameters!$A$3:$N$65,12,FALSE))))</f>
        <v>0</v>
      </c>
      <c r="AF184" s="523">
        <f t="shared" si="241"/>
        <v>0</v>
      </c>
      <c r="AG184" s="523">
        <f t="shared" si="242"/>
        <v>0</v>
      </c>
      <c r="AH184" s="523">
        <f t="shared" si="243"/>
        <v>0</v>
      </c>
      <c r="AI184" s="526"/>
      <c r="AJ184" s="527">
        <f>AB184*(IF(ISNA(VLOOKUP($I184,Veg_Parameters!$A$3:$N$65,5,FALSE)),0,(VLOOKUP($I184,Veg_Parameters!$A$3:$N$65,5,FALSE))))</f>
        <v>0</v>
      </c>
      <c r="AK184" s="527">
        <f>IF(ISNA(VLOOKUP($I184,Veg_Parameters!$A$3:$N$65,4,FALSE)),0,(VLOOKUP($I184,Veg_Parameters!$A$3:$N$65,4,FALSE)))</f>
        <v>0</v>
      </c>
      <c r="AL184" s="527">
        <f>AB184*(IF(ISNA(VLOOKUP($I184,Veg_Parameters!$A$3:$N$65,7,FALSE)),0, (VLOOKUP($I184,Veg_Parameters!$A$3:$N$65,7,FALSE))))</f>
        <v>0</v>
      </c>
      <c r="AM184" s="528">
        <f>IF(ISNA(VLOOKUP($I184,Veg_Parameters!$A$3:$N$65,6,FALSE)), 0, (VLOOKUP($I184,Veg_Parameters!$A$3:$N$65,6,FALSE)))</f>
        <v>0</v>
      </c>
      <c r="AN184" s="529">
        <f t="shared" si="244"/>
        <v>20</v>
      </c>
      <c r="AO184" s="529">
        <f t="shared" si="245"/>
        <v>0</v>
      </c>
      <c r="AP184" s="529">
        <f t="shared" si="246"/>
        <v>0</v>
      </c>
      <c r="AQ184" s="530">
        <f t="shared" si="262"/>
        <v>0</v>
      </c>
      <c r="AR184" s="527" t="s">
        <v>3</v>
      </c>
      <c r="AS184" s="527">
        <f>IF(ISNA(VLOOKUP($I184,Veg_Parameters!$A$3:$N$65,8,FALSE)), 0, (VLOOKUP($I184,Veg_Parameters!$A$3:$N$65,8,FALSE)))</f>
        <v>0</v>
      </c>
      <c r="AT184" s="527">
        <f>AB184*(IF(ISNA(VLOOKUP($I184,Veg_Parameters!$A$3:$N$65,9,FALSE)), 0, (VLOOKUP($I184,Veg_Parameters!$A$3:$N$65,9,FALSE))))</f>
        <v>0</v>
      </c>
      <c r="AU184" s="527">
        <f>IF(ISBLANK(A184),0,VLOOKUP($I184,Veg_Parameters!$A$4:$U$65,21,))</f>
        <v>0</v>
      </c>
      <c r="AV184" s="527">
        <f t="shared" si="263"/>
        <v>0</v>
      </c>
      <c r="AW184" s="529">
        <f t="shared" si="264"/>
        <v>0</v>
      </c>
      <c r="AX184" s="529">
        <f t="shared" si="265"/>
        <v>0</v>
      </c>
      <c r="AY184" s="529">
        <f t="shared" si="247"/>
        <v>0</v>
      </c>
      <c r="AZ184" s="529">
        <f t="shared" si="266"/>
        <v>0</v>
      </c>
      <c r="BA184" s="529">
        <f t="shared" si="267"/>
        <v>0</v>
      </c>
      <c r="BB184" s="529">
        <f t="shared" si="268"/>
        <v>0</v>
      </c>
      <c r="BC184" s="529">
        <f t="shared" si="248"/>
        <v>0</v>
      </c>
      <c r="BD184" s="531"/>
      <c r="BE184" s="527">
        <f>AH184*(IF(ISNA(VLOOKUP($N184,Veg_Parameters!$A$3:$N$65,5,FALSE)),0,(VLOOKUP($N184,Veg_Parameters!$A$3:$N$65,5,FALSE))))</f>
        <v>0</v>
      </c>
      <c r="BF184" s="527">
        <f>IF(ISNA(VLOOKUP($N184,Veg_Parameters!$A$3:$N$65,4,FALSE)),0,(VLOOKUP($N184,Veg_Parameters!$A$3:$N$65,4,FALSE)))</f>
        <v>0</v>
      </c>
      <c r="BG184" s="527">
        <f>AH184*(IF(ISNA(VLOOKUP($N184,Veg_Parameters!$A$3:$N$65,7,FALSE)),0, (VLOOKUP($N184,Veg_Parameters!$A$3:$N$65,7,FALSE))))</f>
        <v>0</v>
      </c>
      <c r="BH184" s="527">
        <f>IF(ISNA(VLOOKUP($N184,Veg_Parameters!$A$3:$N$65,6,FALSE)), 0, (VLOOKUP($N184,Veg_Parameters!$A$3:$N$65,6,FALSE)))</f>
        <v>0</v>
      </c>
      <c r="BI184" s="529">
        <f t="shared" si="249"/>
        <v>20</v>
      </c>
      <c r="BJ184" s="529">
        <f t="shared" si="269"/>
        <v>0</v>
      </c>
      <c r="BK184" s="529">
        <f t="shared" si="250"/>
        <v>0</v>
      </c>
      <c r="BL184" s="530">
        <f t="shared" si="270"/>
        <v>0</v>
      </c>
      <c r="BM184" s="527" t="s">
        <v>3</v>
      </c>
      <c r="BN184" s="527">
        <f>IF(ISNA(VLOOKUP(N184,Veg_Parameters!$A$3:$N$65,8,FALSE)), 0, (VLOOKUP($N184,Veg_Parameters!$A$3:$N$65,8,FALSE)))</f>
        <v>0</v>
      </c>
      <c r="BO184" s="527">
        <f>AH184*(IF(ISNA(VLOOKUP($N184,Veg_Parameters!$A$3:$N$65,9,FALSE)), 0, (VLOOKUP($N184,Veg_Parameters!$A$3:$N$65,9,FALSE))))</f>
        <v>0</v>
      </c>
      <c r="BP184" s="527" t="str">
        <f>IF(ISBLANK(N184),"0",VLOOKUP($N184,Veg_Parameters!$A$4:$U$65,21,))</f>
        <v>0</v>
      </c>
      <c r="BQ184" s="529">
        <f t="shared" si="271"/>
        <v>0</v>
      </c>
      <c r="BR184" s="529">
        <f t="shared" si="272"/>
        <v>0</v>
      </c>
      <c r="BS184" s="529">
        <f t="shared" si="251"/>
        <v>0</v>
      </c>
      <c r="BT184" s="529">
        <f t="shared" si="273"/>
        <v>0</v>
      </c>
      <c r="BU184" s="529">
        <f t="shared" si="274"/>
        <v>0</v>
      </c>
      <c r="BV184" s="529">
        <f t="shared" si="275"/>
        <v>0</v>
      </c>
      <c r="BW184" s="532" t="str">
        <f t="shared" si="252"/>
        <v/>
      </c>
      <c r="BX184" s="532" t="str">
        <f t="shared" si="253"/>
        <v/>
      </c>
      <c r="BY184" s="532" t="str">
        <f t="shared" si="254"/>
        <v/>
      </c>
      <c r="BZ184" s="532" t="str">
        <f t="shared" si="255"/>
        <v/>
      </c>
      <c r="CA184" s="532">
        <f t="shared" si="256"/>
        <v>0</v>
      </c>
      <c r="CB184" s="533"/>
      <c r="CC184" s="624">
        <f t="shared" si="257"/>
        <v>0</v>
      </c>
      <c r="CD184" s="534">
        <f t="shared" si="258"/>
        <v>0</v>
      </c>
      <c r="CE184" s="534">
        <f t="shared" si="259"/>
        <v>0</v>
      </c>
      <c r="CF184" s="534">
        <f t="shared" si="260"/>
        <v>0</v>
      </c>
      <c r="CG184" s="534"/>
      <c r="CH184" s="534"/>
      <c r="CI184" s="534">
        <f t="shared" si="276"/>
        <v>0</v>
      </c>
      <c r="CL184" s="534">
        <f>IF(ISNA(VLOOKUP(I184,Veg_Parameters!$A$3:$N$65,13,FALSE)),0,(VLOOKUP(I184,Veg_Parameters!$A$3:$N$65,13,FALSE)))</f>
        <v>0</v>
      </c>
      <c r="CM184" s="534">
        <f t="shared" si="277"/>
        <v>0</v>
      </c>
      <c r="CN184" s="534">
        <f>IF(ISNA(VLOOKUP(N184,Veg_Parameters!$A$3:$N$65,13,FALSE)),0,(VLOOKUP(N184,Veg_Parameters!$A$3:$N$65,13,FALSE)))</f>
        <v>0</v>
      </c>
      <c r="CO184" s="523">
        <f t="shared" si="278"/>
        <v>0</v>
      </c>
    </row>
    <row r="185" spans="1:93" x14ac:dyDescent="0.2">
      <c r="A185" s="227"/>
      <c r="B185" s="171" t="str">
        <f t="shared" si="279"/>
        <v/>
      </c>
      <c r="C185" s="230"/>
      <c r="D185" s="169"/>
      <c r="E185" s="165"/>
      <c r="F185" s="165"/>
      <c r="G185" s="165"/>
      <c r="H185" s="165"/>
      <c r="I185" s="168"/>
      <c r="J185" s="167"/>
      <c r="K185" s="168"/>
      <c r="L185" s="167"/>
      <c r="M185" s="167"/>
      <c r="N185" s="168"/>
      <c r="O185" s="168"/>
      <c r="P185" s="167"/>
      <c r="Q185" s="167"/>
      <c r="R185" s="167"/>
      <c r="S185" s="222" t="str">
        <f>IF(ISBLANK(A185),"",IF(ISNA(VLOOKUP(I185,Veg_Parameters!$A$3:$N$65,3,FALSE)),0,(VLOOKUP(I185,Veg_Parameters!$A$3:$N$65,3,FALSE))))</f>
        <v/>
      </c>
      <c r="T185" s="222" t="str">
        <f>IF(ISBLANK(N185),"",IF(ISNA(VLOOKUP(N185,Veg_Parameters!$A$3:$N$65,3,FALSE)),0,(VLOOKUP(N185,Veg_Parameters!$A$3:$N$65,3,FALSE))))</f>
        <v/>
      </c>
      <c r="U185" s="523">
        <f t="shared" si="261"/>
        <v>0</v>
      </c>
      <c r="V185" s="523">
        <f t="shared" si="237"/>
        <v>0</v>
      </c>
      <c r="W185" s="524">
        <f>IF(ISBLANK(A185),0,IF(ISNA(VLOOKUP($I185,Veg_Parameters!$A$3:$N$65,10,FALSE)),0,(VLOOKUP($I185,Veg_Parameters!$A$3:$N$65,10,FALSE))))</f>
        <v>0</v>
      </c>
      <c r="X185" s="524">
        <f>IF(ISBLANK(A185),0,IF(ISNA(VLOOKUP($I185,Veg_Parameters!$A$3:$N$65,11,FALSE)),0,(VLOOKUP($I185,Veg_Parameters!$A$3:$N$65,11,FALSE))))</f>
        <v>0</v>
      </c>
      <c r="Y185" s="524">
        <f>IF(ISBLANK(A185),0,IF(ISNA(VLOOKUP($I185,Veg_Parameters!$A$3:$N$65,12,FALSE)),0,(VLOOKUP($I185,Veg_Parameters!$A$3:$N$65,12,FALSE))))</f>
        <v>0</v>
      </c>
      <c r="Z185" s="525">
        <f t="shared" si="238"/>
        <v>0</v>
      </c>
      <c r="AA185" s="525">
        <f t="shared" si="239"/>
        <v>0</v>
      </c>
      <c r="AB185" s="525">
        <f t="shared" si="240"/>
        <v>0</v>
      </c>
      <c r="AC185" s="524">
        <f>IF(ISBLANK(N185),0,IF(ISNA(VLOOKUP($N185,Veg_Parameters!$A$3:$N$65,10,FALSE)),0,(VLOOKUP($N185,Veg_Parameters!$A$3:$N$65,10,FALSE))))</f>
        <v>0</v>
      </c>
      <c r="AD185" s="524">
        <f>IF(ISBLANK(N185),0,IF(ISNA(VLOOKUP($N185,Veg_Parameters!$A$3:$N$65,11,FALSE)),0,(VLOOKUP($N185,Veg_Parameters!$A$3:$N$65,11,FALSE))))</f>
        <v>0</v>
      </c>
      <c r="AE185" s="524">
        <f>IF(ISBLANK(N185), 0, IF(ISNA(VLOOKUP($N185,Veg_Parameters!$A$3:$N$65,12,FALSE)),0,(VLOOKUP($N185,Veg_Parameters!$A$3:$N$65,12,FALSE))))</f>
        <v>0</v>
      </c>
      <c r="AF185" s="523">
        <f t="shared" si="241"/>
        <v>0</v>
      </c>
      <c r="AG185" s="523">
        <f t="shared" si="242"/>
        <v>0</v>
      </c>
      <c r="AH185" s="523">
        <f t="shared" si="243"/>
        <v>0</v>
      </c>
      <c r="AI185" s="526"/>
      <c r="AJ185" s="527">
        <f>AB185*(IF(ISNA(VLOOKUP($I185,Veg_Parameters!$A$3:$N$65,5,FALSE)),0,(VLOOKUP($I185,Veg_Parameters!$A$3:$N$65,5,FALSE))))</f>
        <v>0</v>
      </c>
      <c r="AK185" s="527">
        <f>IF(ISNA(VLOOKUP($I185,Veg_Parameters!$A$3:$N$65,4,FALSE)),0,(VLOOKUP($I185,Veg_Parameters!$A$3:$N$65,4,FALSE)))</f>
        <v>0</v>
      </c>
      <c r="AL185" s="527">
        <f>AB185*(IF(ISNA(VLOOKUP($I185,Veg_Parameters!$A$3:$N$65,7,FALSE)),0, (VLOOKUP($I185,Veg_Parameters!$A$3:$N$65,7,FALSE))))</f>
        <v>0</v>
      </c>
      <c r="AM185" s="528">
        <f>IF(ISNA(VLOOKUP($I185,Veg_Parameters!$A$3:$N$65,6,FALSE)), 0, (VLOOKUP($I185,Veg_Parameters!$A$3:$N$65,6,FALSE)))</f>
        <v>0</v>
      </c>
      <c r="AN185" s="529">
        <f t="shared" si="244"/>
        <v>20</v>
      </c>
      <c r="AO185" s="529">
        <f t="shared" si="245"/>
        <v>0</v>
      </c>
      <c r="AP185" s="529">
        <f t="shared" si="246"/>
        <v>0</v>
      </c>
      <c r="AQ185" s="530">
        <f t="shared" si="262"/>
        <v>0</v>
      </c>
      <c r="AR185" s="527" t="s">
        <v>3</v>
      </c>
      <c r="AS185" s="527">
        <f>IF(ISNA(VLOOKUP($I185,Veg_Parameters!$A$3:$N$65,8,FALSE)), 0, (VLOOKUP($I185,Veg_Parameters!$A$3:$N$65,8,FALSE)))</f>
        <v>0</v>
      </c>
      <c r="AT185" s="527">
        <f>AB185*(IF(ISNA(VLOOKUP($I185,Veg_Parameters!$A$3:$N$65,9,FALSE)), 0, (VLOOKUP($I185,Veg_Parameters!$A$3:$N$65,9,FALSE))))</f>
        <v>0</v>
      </c>
      <c r="AU185" s="527">
        <f>IF(ISBLANK(A185),0,VLOOKUP($I185,Veg_Parameters!$A$4:$U$65,21,))</f>
        <v>0</v>
      </c>
      <c r="AV185" s="527">
        <f t="shared" si="263"/>
        <v>0</v>
      </c>
      <c r="AW185" s="529">
        <f t="shared" si="264"/>
        <v>0</v>
      </c>
      <c r="AX185" s="529">
        <f t="shared" si="265"/>
        <v>0</v>
      </c>
      <c r="AY185" s="529">
        <f t="shared" si="247"/>
        <v>0</v>
      </c>
      <c r="AZ185" s="529">
        <f t="shared" si="266"/>
        <v>0</v>
      </c>
      <c r="BA185" s="529">
        <f t="shared" si="267"/>
        <v>0</v>
      </c>
      <c r="BB185" s="529">
        <f t="shared" si="268"/>
        <v>0</v>
      </c>
      <c r="BC185" s="529">
        <f t="shared" si="248"/>
        <v>0</v>
      </c>
      <c r="BD185" s="531"/>
      <c r="BE185" s="527">
        <f>AH185*(IF(ISNA(VLOOKUP($N185,Veg_Parameters!$A$3:$N$65,5,FALSE)),0,(VLOOKUP($N185,Veg_Parameters!$A$3:$N$65,5,FALSE))))</f>
        <v>0</v>
      </c>
      <c r="BF185" s="527">
        <f>IF(ISNA(VLOOKUP($N185,Veg_Parameters!$A$3:$N$65,4,FALSE)),0,(VLOOKUP($N185,Veg_Parameters!$A$3:$N$65,4,FALSE)))</f>
        <v>0</v>
      </c>
      <c r="BG185" s="527">
        <f>AH185*(IF(ISNA(VLOOKUP($N185,Veg_Parameters!$A$3:$N$65,7,FALSE)),0, (VLOOKUP($N185,Veg_Parameters!$A$3:$N$65,7,FALSE))))</f>
        <v>0</v>
      </c>
      <c r="BH185" s="527">
        <f>IF(ISNA(VLOOKUP($N185,Veg_Parameters!$A$3:$N$65,6,FALSE)), 0, (VLOOKUP($N185,Veg_Parameters!$A$3:$N$65,6,FALSE)))</f>
        <v>0</v>
      </c>
      <c r="BI185" s="529">
        <f t="shared" si="249"/>
        <v>20</v>
      </c>
      <c r="BJ185" s="529">
        <f t="shared" si="269"/>
        <v>0</v>
      </c>
      <c r="BK185" s="529">
        <f t="shared" si="250"/>
        <v>0</v>
      </c>
      <c r="BL185" s="530">
        <f t="shared" si="270"/>
        <v>0</v>
      </c>
      <c r="BM185" s="527" t="s">
        <v>3</v>
      </c>
      <c r="BN185" s="527">
        <f>IF(ISNA(VLOOKUP(N185,Veg_Parameters!$A$3:$N$65,8,FALSE)), 0, (VLOOKUP($N185,Veg_Parameters!$A$3:$N$65,8,FALSE)))</f>
        <v>0</v>
      </c>
      <c r="BO185" s="527">
        <f>AH185*(IF(ISNA(VLOOKUP($N185,Veg_Parameters!$A$3:$N$65,9,FALSE)), 0, (VLOOKUP($N185,Veg_Parameters!$A$3:$N$65,9,FALSE))))</f>
        <v>0</v>
      </c>
      <c r="BP185" s="527" t="str">
        <f>IF(ISBLANK(N185),"0",VLOOKUP($N185,Veg_Parameters!$A$4:$U$65,21,))</f>
        <v>0</v>
      </c>
      <c r="BQ185" s="529">
        <f t="shared" si="271"/>
        <v>0</v>
      </c>
      <c r="BR185" s="529">
        <f t="shared" si="272"/>
        <v>0</v>
      </c>
      <c r="BS185" s="529">
        <f t="shared" si="251"/>
        <v>0</v>
      </c>
      <c r="BT185" s="529">
        <f t="shared" si="273"/>
        <v>0</v>
      </c>
      <c r="BU185" s="529">
        <f t="shared" si="274"/>
        <v>0</v>
      </c>
      <c r="BV185" s="529">
        <f t="shared" si="275"/>
        <v>0</v>
      </c>
      <c r="BW185" s="532" t="str">
        <f t="shared" si="252"/>
        <v/>
      </c>
      <c r="BX185" s="532" t="str">
        <f t="shared" si="253"/>
        <v/>
      </c>
      <c r="BY185" s="532" t="str">
        <f t="shared" si="254"/>
        <v/>
      </c>
      <c r="BZ185" s="532" t="str">
        <f t="shared" si="255"/>
        <v/>
      </c>
      <c r="CA185" s="532">
        <f t="shared" si="256"/>
        <v>0</v>
      </c>
      <c r="CB185" s="533"/>
      <c r="CC185" s="624">
        <f t="shared" si="257"/>
        <v>0</v>
      </c>
      <c r="CD185" s="534">
        <f t="shared" si="258"/>
        <v>0</v>
      </c>
      <c r="CE185" s="534">
        <f t="shared" si="259"/>
        <v>0</v>
      </c>
      <c r="CF185" s="534">
        <f t="shared" si="260"/>
        <v>0</v>
      </c>
      <c r="CG185" s="534"/>
      <c r="CH185" s="534"/>
      <c r="CI185" s="534">
        <f t="shared" si="276"/>
        <v>0</v>
      </c>
      <c r="CL185" s="534">
        <f>IF(ISNA(VLOOKUP(I185,Veg_Parameters!$A$3:$N$65,13,FALSE)),0,(VLOOKUP(I185,Veg_Parameters!$A$3:$N$65,13,FALSE)))</f>
        <v>0</v>
      </c>
      <c r="CM185" s="534">
        <f t="shared" si="277"/>
        <v>0</v>
      </c>
      <c r="CN185" s="534">
        <f>IF(ISNA(VLOOKUP(N185,Veg_Parameters!$A$3:$N$65,13,FALSE)),0,(VLOOKUP(N185,Veg_Parameters!$A$3:$N$65,13,FALSE)))</f>
        <v>0</v>
      </c>
      <c r="CO185" s="523">
        <f t="shared" si="278"/>
        <v>0</v>
      </c>
    </row>
    <row r="186" spans="1:93" x14ac:dyDescent="0.2">
      <c r="A186" s="227"/>
      <c r="B186" s="171" t="str">
        <f t="shared" si="279"/>
        <v/>
      </c>
      <c r="C186" s="230"/>
      <c r="D186" s="169"/>
      <c r="E186" s="165"/>
      <c r="F186" s="165"/>
      <c r="G186" s="165"/>
      <c r="H186" s="165"/>
      <c r="I186" s="168"/>
      <c r="J186" s="167"/>
      <c r="K186" s="168"/>
      <c r="L186" s="167"/>
      <c r="M186" s="167"/>
      <c r="N186" s="168"/>
      <c r="O186" s="168"/>
      <c r="P186" s="167"/>
      <c r="Q186" s="167"/>
      <c r="R186" s="167"/>
      <c r="S186" s="222" t="str">
        <f>IF(ISBLANK(A186),"",IF(ISNA(VLOOKUP(I186,Veg_Parameters!$A$3:$N$65,3,FALSE)),0,(VLOOKUP(I186,Veg_Parameters!$A$3:$N$65,3,FALSE))))</f>
        <v/>
      </c>
      <c r="T186" s="222" t="str">
        <f>IF(ISBLANK(N186),"",IF(ISNA(VLOOKUP(N186,Veg_Parameters!$A$3:$N$65,3,FALSE)),0,(VLOOKUP(N186,Veg_Parameters!$A$3:$N$65,3,FALSE))))</f>
        <v/>
      </c>
      <c r="U186" s="523">
        <f t="shared" si="261"/>
        <v>0</v>
      </c>
      <c r="V186" s="523">
        <f t="shared" si="237"/>
        <v>0</v>
      </c>
      <c r="W186" s="524">
        <f>IF(ISBLANK(A186),0,IF(ISNA(VLOOKUP($I186,Veg_Parameters!$A$3:$N$65,10,FALSE)),0,(VLOOKUP($I186,Veg_Parameters!$A$3:$N$65,10,FALSE))))</f>
        <v>0</v>
      </c>
      <c r="X186" s="524">
        <f>IF(ISBLANK(A186),0,IF(ISNA(VLOOKUP($I186,Veg_Parameters!$A$3:$N$65,11,FALSE)),0,(VLOOKUP($I186,Veg_Parameters!$A$3:$N$65,11,FALSE))))</f>
        <v>0</v>
      </c>
      <c r="Y186" s="524">
        <f>IF(ISBLANK(A186),0,IF(ISNA(VLOOKUP($I186,Veg_Parameters!$A$3:$N$65,12,FALSE)),0,(VLOOKUP($I186,Veg_Parameters!$A$3:$N$65,12,FALSE))))</f>
        <v>0</v>
      </c>
      <c r="Z186" s="525">
        <f t="shared" si="238"/>
        <v>0</v>
      </c>
      <c r="AA186" s="525">
        <f t="shared" si="239"/>
        <v>0</v>
      </c>
      <c r="AB186" s="525">
        <f t="shared" si="240"/>
        <v>0</v>
      </c>
      <c r="AC186" s="524">
        <f>IF(ISBLANK(N186),0,IF(ISNA(VLOOKUP($N186,Veg_Parameters!$A$3:$N$65,10,FALSE)),0,(VLOOKUP($N186,Veg_Parameters!$A$3:$N$65,10,FALSE))))</f>
        <v>0</v>
      </c>
      <c r="AD186" s="524">
        <f>IF(ISBLANK(N186),0,IF(ISNA(VLOOKUP($N186,Veg_Parameters!$A$3:$N$65,11,FALSE)),0,(VLOOKUP($N186,Veg_Parameters!$A$3:$N$65,11,FALSE))))</f>
        <v>0</v>
      </c>
      <c r="AE186" s="524">
        <f>IF(ISBLANK(N186), 0, IF(ISNA(VLOOKUP($N186,Veg_Parameters!$A$3:$N$65,12,FALSE)),0,(VLOOKUP($N186,Veg_Parameters!$A$3:$N$65,12,FALSE))))</f>
        <v>0</v>
      </c>
      <c r="AF186" s="523">
        <f t="shared" si="241"/>
        <v>0</v>
      </c>
      <c r="AG186" s="523">
        <f t="shared" si="242"/>
        <v>0</v>
      </c>
      <c r="AH186" s="523">
        <f t="shared" si="243"/>
        <v>0</v>
      </c>
      <c r="AI186" s="526"/>
      <c r="AJ186" s="527">
        <f>AB186*(IF(ISNA(VLOOKUP($I186,Veg_Parameters!$A$3:$N$65,5,FALSE)),0,(VLOOKUP($I186,Veg_Parameters!$A$3:$N$65,5,FALSE))))</f>
        <v>0</v>
      </c>
      <c r="AK186" s="527">
        <f>IF(ISNA(VLOOKUP($I186,Veg_Parameters!$A$3:$N$65,4,FALSE)),0,(VLOOKUP($I186,Veg_Parameters!$A$3:$N$65,4,FALSE)))</f>
        <v>0</v>
      </c>
      <c r="AL186" s="527">
        <f>AB186*(IF(ISNA(VLOOKUP($I186,Veg_Parameters!$A$3:$N$65,7,FALSE)),0, (VLOOKUP($I186,Veg_Parameters!$A$3:$N$65,7,FALSE))))</f>
        <v>0</v>
      </c>
      <c r="AM186" s="528">
        <f>IF(ISNA(VLOOKUP($I186,Veg_Parameters!$A$3:$N$65,6,FALSE)), 0, (VLOOKUP($I186,Veg_Parameters!$A$3:$N$65,6,FALSE)))</f>
        <v>0</v>
      </c>
      <c r="AN186" s="529">
        <f t="shared" si="244"/>
        <v>20</v>
      </c>
      <c r="AO186" s="529">
        <f t="shared" si="245"/>
        <v>0</v>
      </c>
      <c r="AP186" s="529">
        <f t="shared" si="246"/>
        <v>0</v>
      </c>
      <c r="AQ186" s="530">
        <f t="shared" si="262"/>
        <v>0</v>
      </c>
      <c r="AR186" s="527" t="s">
        <v>3</v>
      </c>
      <c r="AS186" s="527">
        <f>IF(ISNA(VLOOKUP($I186,Veg_Parameters!$A$3:$N$65,8,FALSE)), 0, (VLOOKUP($I186,Veg_Parameters!$A$3:$N$65,8,FALSE)))</f>
        <v>0</v>
      </c>
      <c r="AT186" s="527">
        <f>AB186*(IF(ISNA(VLOOKUP($I186,Veg_Parameters!$A$3:$N$65,9,FALSE)), 0, (VLOOKUP($I186,Veg_Parameters!$A$3:$N$65,9,FALSE))))</f>
        <v>0</v>
      </c>
      <c r="AU186" s="527">
        <f>IF(ISBLANK(A186),0,VLOOKUP($I186,Veg_Parameters!$A$4:$U$65,21,))</f>
        <v>0</v>
      </c>
      <c r="AV186" s="527">
        <f t="shared" si="263"/>
        <v>0</v>
      </c>
      <c r="AW186" s="529">
        <f t="shared" si="264"/>
        <v>0</v>
      </c>
      <c r="AX186" s="529">
        <f t="shared" si="265"/>
        <v>0</v>
      </c>
      <c r="AY186" s="529">
        <f t="shared" si="247"/>
        <v>0</v>
      </c>
      <c r="AZ186" s="529">
        <f t="shared" si="266"/>
        <v>0</v>
      </c>
      <c r="BA186" s="529">
        <f t="shared" si="267"/>
        <v>0</v>
      </c>
      <c r="BB186" s="529">
        <f t="shared" si="268"/>
        <v>0</v>
      </c>
      <c r="BC186" s="529">
        <f t="shared" si="248"/>
        <v>0</v>
      </c>
      <c r="BD186" s="531"/>
      <c r="BE186" s="527">
        <f>AH186*(IF(ISNA(VLOOKUP($N186,Veg_Parameters!$A$3:$N$65,5,FALSE)),0,(VLOOKUP($N186,Veg_Parameters!$A$3:$N$65,5,FALSE))))</f>
        <v>0</v>
      </c>
      <c r="BF186" s="527">
        <f>IF(ISNA(VLOOKUP($N186,Veg_Parameters!$A$3:$N$65,4,FALSE)),0,(VLOOKUP($N186,Veg_Parameters!$A$3:$N$65,4,FALSE)))</f>
        <v>0</v>
      </c>
      <c r="BG186" s="527">
        <f>AH186*(IF(ISNA(VLOOKUP($N186,Veg_Parameters!$A$3:$N$65,7,FALSE)),0, (VLOOKUP($N186,Veg_Parameters!$A$3:$N$65,7,FALSE))))</f>
        <v>0</v>
      </c>
      <c r="BH186" s="527">
        <f>IF(ISNA(VLOOKUP($N186,Veg_Parameters!$A$3:$N$65,6,FALSE)), 0, (VLOOKUP($N186,Veg_Parameters!$A$3:$N$65,6,FALSE)))</f>
        <v>0</v>
      </c>
      <c r="BI186" s="529">
        <f t="shared" si="249"/>
        <v>20</v>
      </c>
      <c r="BJ186" s="529">
        <f t="shared" si="269"/>
        <v>0</v>
      </c>
      <c r="BK186" s="529">
        <f t="shared" si="250"/>
        <v>0</v>
      </c>
      <c r="BL186" s="530">
        <f t="shared" si="270"/>
        <v>0</v>
      </c>
      <c r="BM186" s="527" t="s">
        <v>3</v>
      </c>
      <c r="BN186" s="527">
        <f>IF(ISNA(VLOOKUP(N186,Veg_Parameters!$A$3:$N$65,8,FALSE)), 0, (VLOOKUP($N186,Veg_Parameters!$A$3:$N$65,8,FALSE)))</f>
        <v>0</v>
      </c>
      <c r="BO186" s="527">
        <f>AH186*(IF(ISNA(VLOOKUP($N186,Veg_Parameters!$A$3:$N$65,9,FALSE)), 0, (VLOOKUP($N186,Veg_Parameters!$A$3:$N$65,9,FALSE))))</f>
        <v>0</v>
      </c>
      <c r="BP186" s="527" t="str">
        <f>IF(ISBLANK(N186),"0",VLOOKUP($N186,Veg_Parameters!$A$4:$U$65,21,))</f>
        <v>0</v>
      </c>
      <c r="BQ186" s="529">
        <f t="shared" si="271"/>
        <v>0</v>
      </c>
      <c r="BR186" s="529">
        <f t="shared" si="272"/>
        <v>0</v>
      </c>
      <c r="BS186" s="529">
        <f t="shared" si="251"/>
        <v>0</v>
      </c>
      <c r="BT186" s="529">
        <f t="shared" si="273"/>
        <v>0</v>
      </c>
      <c r="BU186" s="529">
        <f t="shared" si="274"/>
        <v>0</v>
      </c>
      <c r="BV186" s="529">
        <f t="shared" si="275"/>
        <v>0</v>
      </c>
      <c r="BW186" s="532" t="str">
        <f t="shared" si="252"/>
        <v/>
      </c>
      <c r="BX186" s="532" t="str">
        <f t="shared" si="253"/>
        <v/>
      </c>
      <c r="BY186" s="532" t="str">
        <f t="shared" si="254"/>
        <v/>
      </c>
      <c r="BZ186" s="532" t="str">
        <f t="shared" si="255"/>
        <v/>
      </c>
      <c r="CA186" s="532">
        <f t="shared" si="256"/>
        <v>0</v>
      </c>
      <c r="CB186" s="533"/>
      <c r="CC186" s="624">
        <f t="shared" si="257"/>
        <v>0</v>
      </c>
      <c r="CD186" s="534">
        <f t="shared" si="258"/>
        <v>0</v>
      </c>
      <c r="CE186" s="534">
        <f t="shared" si="259"/>
        <v>0</v>
      </c>
      <c r="CF186" s="534">
        <f t="shared" si="260"/>
        <v>0</v>
      </c>
      <c r="CG186" s="534"/>
      <c r="CH186" s="534"/>
      <c r="CI186" s="534">
        <f t="shared" si="276"/>
        <v>0</v>
      </c>
      <c r="CL186" s="534">
        <f>IF(ISNA(VLOOKUP(I186,Veg_Parameters!$A$3:$N$65,13,FALSE)),0,(VLOOKUP(I186,Veg_Parameters!$A$3:$N$65,13,FALSE)))</f>
        <v>0</v>
      </c>
      <c r="CM186" s="534">
        <f t="shared" si="277"/>
        <v>0</v>
      </c>
      <c r="CN186" s="534">
        <f>IF(ISNA(VLOOKUP(N186,Veg_Parameters!$A$3:$N$65,13,FALSE)),0,(VLOOKUP(N186,Veg_Parameters!$A$3:$N$65,13,FALSE)))</f>
        <v>0</v>
      </c>
      <c r="CO186" s="523">
        <f t="shared" si="278"/>
        <v>0</v>
      </c>
    </row>
    <row r="187" spans="1:93" ht="13.5" thickBot="1" x14ac:dyDescent="0.25">
      <c r="A187" s="227"/>
      <c r="B187" s="171" t="str">
        <f>IF(ISBLANK(A187),"",$B$163)</f>
        <v/>
      </c>
      <c r="C187" s="230"/>
      <c r="D187" s="169"/>
      <c r="E187" s="165"/>
      <c r="F187" s="165"/>
      <c r="G187" s="165"/>
      <c r="H187" s="165"/>
      <c r="I187" s="168"/>
      <c r="J187" s="167"/>
      <c r="K187" s="168"/>
      <c r="L187" s="167"/>
      <c r="M187" s="167"/>
      <c r="N187" s="168"/>
      <c r="O187" s="168"/>
      <c r="P187" s="167"/>
      <c r="Q187" s="167"/>
      <c r="R187" s="167"/>
      <c r="S187" s="222" t="str">
        <f>IF(ISBLANK(A187),"",IF(ISNA(VLOOKUP(I187,Veg_Parameters!$A$3:$N$65,3,FALSE)),0,(VLOOKUP(I187,Veg_Parameters!$A$3:$N$65,3,FALSE))))</f>
        <v/>
      </c>
      <c r="T187" s="222" t="str">
        <f>IF(ISBLANK(N187),"",IF(ISNA(VLOOKUP(N187,Veg_Parameters!$A$3:$N$65,3,FALSE)),0,(VLOOKUP(N187,Veg_Parameters!$A$3:$N$65,3,FALSE))))</f>
        <v/>
      </c>
      <c r="U187" s="523">
        <f t="shared" si="261"/>
        <v>0</v>
      </c>
      <c r="V187" s="523">
        <f t="shared" si="237"/>
        <v>0</v>
      </c>
      <c r="W187" s="524">
        <f>IF(ISBLANK(A187),0,IF(ISNA(VLOOKUP($I187,Veg_Parameters!$A$3:$N$65,10,FALSE)),0,(VLOOKUP($I187,Veg_Parameters!$A$3:$N$65,10,FALSE))))</f>
        <v>0</v>
      </c>
      <c r="X187" s="524">
        <f>IF(ISBLANK(A187),0,IF(ISNA(VLOOKUP($I187,Veg_Parameters!$A$3:$N$65,11,FALSE)),0,(VLOOKUP($I187,Veg_Parameters!$A$3:$N$65,11,FALSE))))</f>
        <v>0</v>
      </c>
      <c r="Y187" s="524">
        <f>IF(ISBLANK(A187),0,IF(ISNA(VLOOKUP($I187,Veg_Parameters!$A$3:$N$65,12,FALSE)),0,(VLOOKUP($I187,Veg_Parameters!$A$3:$N$65,12,FALSE))))</f>
        <v>0</v>
      </c>
      <c r="Z187" s="525">
        <f t="shared" si="238"/>
        <v>0</v>
      </c>
      <c r="AA187" s="525">
        <f t="shared" si="239"/>
        <v>0</v>
      </c>
      <c r="AB187" s="525">
        <f t="shared" si="240"/>
        <v>0</v>
      </c>
      <c r="AC187" s="524">
        <f>IF(ISBLANK(N187),0,IF(ISNA(VLOOKUP($N187,Veg_Parameters!$A$3:$N$65,10,FALSE)),0,(VLOOKUP($N187,Veg_Parameters!$A$3:$N$65,10,FALSE))))</f>
        <v>0</v>
      </c>
      <c r="AD187" s="524">
        <f>IF(ISBLANK(N187),0,IF(ISNA(VLOOKUP($N187,Veg_Parameters!$A$3:$N$65,11,FALSE)),0,(VLOOKUP($N187,Veg_Parameters!$A$3:$N$65,11,FALSE))))</f>
        <v>0</v>
      </c>
      <c r="AE187" s="524">
        <f>IF(ISBLANK(N187), 0, IF(ISNA(VLOOKUP($N187,Veg_Parameters!$A$3:$N$65,12,FALSE)),0,(VLOOKUP($N187,Veg_Parameters!$A$3:$N$65,12,FALSE))))</f>
        <v>0</v>
      </c>
      <c r="AF187" s="523">
        <f t="shared" si="241"/>
        <v>0</v>
      </c>
      <c r="AG187" s="523">
        <f t="shared" si="242"/>
        <v>0</v>
      </c>
      <c r="AH187" s="523">
        <f t="shared" si="243"/>
        <v>0</v>
      </c>
      <c r="AI187" s="526"/>
      <c r="AJ187" s="527">
        <f>AB187*(IF(ISNA(VLOOKUP($I187,Veg_Parameters!$A$3:$N$65,5,FALSE)),0,(VLOOKUP($I187,Veg_Parameters!$A$3:$N$65,5,FALSE))))</f>
        <v>0</v>
      </c>
      <c r="AK187" s="527">
        <f>IF(ISNA(VLOOKUP($I187,Veg_Parameters!$A$3:$N$65,4,FALSE)),0,(VLOOKUP($I187,Veg_Parameters!$A$3:$N$65,4,FALSE)))</f>
        <v>0</v>
      </c>
      <c r="AL187" s="527">
        <f>AB187*(IF(ISNA(VLOOKUP($I187,Veg_Parameters!$A$3:$N$65,7,FALSE)),0, (VLOOKUP($I187,Veg_Parameters!$A$3:$N$65,7,FALSE))))</f>
        <v>0</v>
      </c>
      <c r="AM187" s="528">
        <f>IF(ISNA(VLOOKUP($I187,Veg_Parameters!$A$3:$N$65,6,FALSE)), 0, (VLOOKUP($I187,Veg_Parameters!$A$3:$N$65,6,FALSE)))</f>
        <v>0</v>
      </c>
      <c r="AN187" s="529">
        <f t="shared" si="244"/>
        <v>20</v>
      </c>
      <c r="AO187" s="529">
        <f t="shared" si="245"/>
        <v>0</v>
      </c>
      <c r="AP187" s="529">
        <f t="shared" si="246"/>
        <v>0</v>
      </c>
      <c r="AQ187" s="530">
        <f t="shared" si="262"/>
        <v>0</v>
      </c>
      <c r="AR187" s="527" t="s">
        <v>3</v>
      </c>
      <c r="AS187" s="527">
        <f>IF(ISNA(VLOOKUP($I187,Veg_Parameters!$A$3:$N$65,8,FALSE)), 0, (VLOOKUP($I187,Veg_Parameters!$A$3:$N$65,8,FALSE)))</f>
        <v>0</v>
      </c>
      <c r="AT187" s="527">
        <f>AB187*(IF(ISNA(VLOOKUP($I187,Veg_Parameters!$A$3:$N$65,9,FALSE)), 0, (VLOOKUP($I187,Veg_Parameters!$A$3:$N$65,9,FALSE))))</f>
        <v>0</v>
      </c>
      <c r="AU187" s="527">
        <f>IF(ISBLANK(A187),0,VLOOKUP($I187,Veg_Parameters!$A$4:$U$65,21,))</f>
        <v>0</v>
      </c>
      <c r="AV187" s="527">
        <f t="shared" si="263"/>
        <v>0</v>
      </c>
      <c r="AW187" s="529">
        <f t="shared" si="264"/>
        <v>0</v>
      </c>
      <c r="AX187" s="529">
        <f t="shared" si="265"/>
        <v>0</v>
      </c>
      <c r="AY187" s="529">
        <f t="shared" si="247"/>
        <v>0</v>
      </c>
      <c r="AZ187" s="529">
        <f t="shared" si="266"/>
        <v>0</v>
      </c>
      <c r="BA187" s="529">
        <f t="shared" si="267"/>
        <v>0</v>
      </c>
      <c r="BB187" s="529">
        <f t="shared" si="268"/>
        <v>0</v>
      </c>
      <c r="BC187" s="529">
        <f t="shared" si="248"/>
        <v>0</v>
      </c>
      <c r="BD187" s="531"/>
      <c r="BE187" s="527">
        <f>AH187*(IF(ISNA(VLOOKUP($N187,Veg_Parameters!$A$3:$N$65,5,FALSE)),0,(VLOOKUP($N187,Veg_Parameters!$A$3:$N$65,5,FALSE))))</f>
        <v>0</v>
      </c>
      <c r="BF187" s="527">
        <f>IF(ISNA(VLOOKUP($N187,Veg_Parameters!$A$3:$N$65,4,FALSE)),0,(VLOOKUP($N187,Veg_Parameters!$A$3:$N$65,4,FALSE)))</f>
        <v>0</v>
      </c>
      <c r="BG187" s="527">
        <f>AH187*(IF(ISNA(VLOOKUP($N187,Veg_Parameters!$A$3:$N$65,7,FALSE)),0, (VLOOKUP($N187,Veg_Parameters!$A$3:$N$65,7,FALSE))))</f>
        <v>0</v>
      </c>
      <c r="BH187" s="527">
        <f>IF(ISNA(VLOOKUP($N187,Veg_Parameters!$A$3:$N$65,6,FALSE)), 0, (VLOOKUP($N187,Veg_Parameters!$A$3:$N$65,6,FALSE)))</f>
        <v>0</v>
      </c>
      <c r="BI187" s="529">
        <f t="shared" si="249"/>
        <v>20</v>
      </c>
      <c r="BJ187" s="529">
        <f t="shared" si="269"/>
        <v>0</v>
      </c>
      <c r="BK187" s="529">
        <f t="shared" si="250"/>
        <v>0</v>
      </c>
      <c r="BL187" s="530">
        <f t="shared" si="270"/>
        <v>0</v>
      </c>
      <c r="BM187" s="527" t="s">
        <v>3</v>
      </c>
      <c r="BN187" s="527">
        <f>IF(ISNA(VLOOKUP(N187,Veg_Parameters!$A$3:$N$65,8,FALSE)), 0, (VLOOKUP($N187,Veg_Parameters!$A$3:$N$65,8,FALSE)))</f>
        <v>0</v>
      </c>
      <c r="BO187" s="527">
        <f>AH187*(IF(ISNA(VLOOKUP($N187,Veg_Parameters!$A$3:$N$65,9,FALSE)), 0, (VLOOKUP($N187,Veg_Parameters!$A$3:$N$65,9,FALSE))))</f>
        <v>0</v>
      </c>
      <c r="BP187" s="527" t="str">
        <f>IF(ISBLANK(N187),"0",VLOOKUP($N187,Veg_Parameters!$A$4:$U$65,21,))</f>
        <v>0</v>
      </c>
      <c r="BQ187" s="529">
        <f t="shared" si="271"/>
        <v>0</v>
      </c>
      <c r="BR187" s="529">
        <f t="shared" si="272"/>
        <v>0</v>
      </c>
      <c r="BS187" s="529">
        <f t="shared" si="251"/>
        <v>0</v>
      </c>
      <c r="BT187" s="529">
        <f t="shared" si="273"/>
        <v>0</v>
      </c>
      <c r="BU187" s="529">
        <f t="shared" si="274"/>
        <v>0</v>
      </c>
      <c r="BV187" s="529">
        <f t="shared" si="275"/>
        <v>0</v>
      </c>
      <c r="BW187" s="532" t="str">
        <f t="shared" si="252"/>
        <v/>
      </c>
      <c r="BX187" s="532" t="str">
        <f t="shared" si="253"/>
        <v/>
      </c>
      <c r="BY187" s="532" t="str">
        <f t="shared" si="254"/>
        <v/>
      </c>
      <c r="BZ187" s="532" t="str">
        <f t="shared" si="255"/>
        <v/>
      </c>
      <c r="CA187" s="532">
        <f t="shared" si="256"/>
        <v>0</v>
      </c>
      <c r="CB187" s="533"/>
      <c r="CC187" s="624">
        <f t="shared" si="257"/>
        <v>0</v>
      </c>
      <c r="CD187" s="534">
        <f t="shared" si="258"/>
        <v>0</v>
      </c>
      <c r="CE187" s="534">
        <f t="shared" si="259"/>
        <v>0</v>
      </c>
      <c r="CF187" s="534">
        <f t="shared" si="260"/>
        <v>0</v>
      </c>
      <c r="CG187" s="534"/>
      <c r="CH187" s="534"/>
      <c r="CI187" s="534">
        <f t="shared" si="276"/>
        <v>0</v>
      </c>
      <c r="CL187" s="534">
        <f>IF(ISNA(VLOOKUP(I187,Veg_Parameters!$A$3:$N$65,13,FALSE)),0,(VLOOKUP(I187,Veg_Parameters!$A$3:$N$65,13,FALSE)))</f>
        <v>0</v>
      </c>
      <c r="CM187" s="534">
        <f t="shared" si="277"/>
        <v>0</v>
      </c>
      <c r="CN187" s="534">
        <f>IF(ISNA(VLOOKUP(N187,Veg_Parameters!$A$3:$N$65,13,FALSE)),0,(VLOOKUP(N187,Veg_Parameters!$A$3:$N$65,13,FALSE)))</f>
        <v>0</v>
      </c>
      <c r="CO187" s="523">
        <f t="shared" si="278"/>
        <v>0</v>
      </c>
    </row>
    <row r="188" spans="1:93" ht="13.5" thickBot="1" x14ac:dyDescent="0.25">
      <c r="A188" s="231" t="s">
        <v>70</v>
      </c>
      <c r="B188" s="186" t="str">
        <f>IF(ISBLANK(B163),"",B163)</f>
        <v/>
      </c>
      <c r="C188" s="231"/>
      <c r="D188" s="188"/>
      <c r="E188" s="187"/>
      <c r="F188" s="188"/>
      <c r="G188" s="189" t="str">
        <f>IFERROR((SUMPRODUCT($U163:$U187,G163:G187))/(100*$U188),"")</f>
        <v/>
      </c>
      <c r="H188" s="189" t="str">
        <f>IFERROR((SUMPRODUCT($U163:$U187,H163:H187))/(100*$U188),"")</f>
        <v/>
      </c>
      <c r="I188" s="188"/>
      <c r="J188" s="188"/>
      <c r="K188" s="188"/>
      <c r="L188" s="188"/>
      <c r="M188" s="188" t="s">
        <v>27</v>
      </c>
      <c r="N188" s="188"/>
      <c r="O188" s="188"/>
      <c r="P188" s="188"/>
      <c r="Q188" s="188"/>
      <c r="R188" s="188" t="s">
        <v>27</v>
      </c>
      <c r="S188" s="223"/>
      <c r="T188" s="223"/>
      <c r="U188" s="562">
        <f>+SUM(U163:U187)</f>
        <v>0</v>
      </c>
      <c r="V188" s="535" t="str">
        <f>IFERROR(SUMPRODUCT(U163:U187, V163:V187)/U188,"")</f>
        <v/>
      </c>
      <c r="W188" s="536"/>
      <c r="X188" s="536"/>
      <c r="Y188" s="536"/>
      <c r="Z188" s="536"/>
      <c r="AA188" s="536"/>
      <c r="AB188" s="536"/>
      <c r="AC188" s="536"/>
      <c r="AD188" s="536"/>
      <c r="AE188" s="536"/>
      <c r="AF188" s="537"/>
      <c r="AG188" s="537"/>
      <c r="AH188" s="537"/>
      <c r="AI188" s="104"/>
      <c r="AJ188" s="538"/>
      <c r="AK188" s="538"/>
      <c r="AL188" s="539"/>
      <c r="AM188" s="540"/>
      <c r="AN188" s="541"/>
      <c r="AO188" s="538"/>
      <c r="AP188" s="542">
        <f>MAX(AP163:AP187)</f>
        <v>0</v>
      </c>
      <c r="AQ188" s="542" t="s">
        <v>27</v>
      </c>
      <c r="AR188" s="538"/>
      <c r="AS188" s="538"/>
      <c r="AT188" s="538"/>
      <c r="AU188" s="538"/>
      <c r="AV188" s="543">
        <f>SUM(AV163:AV187)</f>
        <v>0</v>
      </c>
      <c r="AW188" s="538"/>
      <c r="AX188" s="538"/>
      <c r="AY188" s="544"/>
      <c r="AZ188" s="544"/>
      <c r="BA188" s="544"/>
      <c r="BB188" s="544"/>
      <c r="BC188" s="544"/>
      <c r="BD188" s="538"/>
      <c r="BE188" s="538"/>
      <c r="BF188" s="538"/>
      <c r="BG188" s="539"/>
      <c r="BH188" s="540"/>
      <c r="BI188" s="541"/>
      <c r="BJ188" s="538"/>
      <c r="BK188" s="542">
        <f>MAX(BK163:BK187)</f>
        <v>0</v>
      </c>
      <c r="BL188" s="538"/>
      <c r="BM188" s="538"/>
      <c r="BN188" s="538"/>
      <c r="BO188" s="538"/>
      <c r="BP188" s="538"/>
      <c r="BQ188" s="538"/>
      <c r="BR188" s="538"/>
      <c r="BS188" s="544"/>
      <c r="BT188" s="544"/>
      <c r="BU188" s="544"/>
      <c r="BV188" s="544"/>
      <c r="BW188" s="545">
        <f>SUM(IF(FREQUENCY(BW163:BW187,BW163:BW187)&gt;0,1))</f>
        <v>0</v>
      </c>
      <c r="BX188" s="545">
        <f>SUM(IF(FREQUENCY(BX163:BX187,BX163:BX187)&gt;0,1))</f>
        <v>0</v>
      </c>
      <c r="BY188" s="545">
        <f>SUM(IF(FREQUENCY(BY163:BY187,BY163:BY187)&gt;0,1))</f>
        <v>0</v>
      </c>
      <c r="BZ188" s="545">
        <f>SUM(IF(FREQUENCY(BZ163:BZ187,BZ163:BZ187)&gt;0,1))</f>
        <v>0</v>
      </c>
      <c r="CA188" s="546"/>
      <c r="CB188" s="547"/>
      <c r="CC188" s="625" t="str">
        <f>IFERROR(((SUM(CC163:CC187))/$U188),"")</f>
        <v/>
      </c>
      <c r="CD188" s="548" t="str">
        <f>+IFERROR(((SUM(CD163:CD187))/$U188),"")</f>
        <v/>
      </c>
      <c r="CE188" s="548" t="str">
        <f>+IFERROR(((SUM(CE163:CE187))/$U188),"")</f>
        <v/>
      </c>
      <c r="CF188" s="549" t="str">
        <f>+IFERROR(((SUM(CF163:CF187))/$U188),"")</f>
        <v/>
      </c>
      <c r="CG188" s="550">
        <f>SUM(IF(FREQUENCY(BW163:BX187,BW163:BX187)&gt;0,1))</f>
        <v>0</v>
      </c>
      <c r="CH188" s="551">
        <f>SUM(IF(FREQUENCY(BY163:BZ187,BY163:BZ187)&gt;0,1))</f>
        <v>0</v>
      </c>
      <c r="CI188" s="552">
        <f>+SUM(CI163:CI187)</f>
        <v>0</v>
      </c>
    </row>
    <row r="189" spans="1:93" ht="35.25" customHeight="1" thickBot="1" x14ac:dyDescent="0.25">
      <c r="A189" s="219"/>
      <c r="B189" s="48"/>
      <c r="C189" s="219"/>
      <c r="D189" s="49"/>
      <c r="E189" s="254"/>
      <c r="F189" s="49"/>
      <c r="G189" s="49"/>
      <c r="H189" s="49"/>
      <c r="I189" s="49"/>
      <c r="J189" s="49"/>
      <c r="K189" s="49"/>
      <c r="L189" s="49"/>
      <c r="M189" s="49"/>
      <c r="N189" s="49"/>
      <c r="O189" s="49"/>
      <c r="P189" s="49"/>
      <c r="Q189" s="49"/>
      <c r="R189" s="49"/>
      <c r="S189" s="219"/>
      <c r="T189" s="219"/>
      <c r="U189" s="554"/>
      <c r="V189" s="554"/>
      <c r="W189" s="490"/>
      <c r="X189" s="490"/>
      <c r="Y189" s="490"/>
      <c r="Z189" s="490"/>
      <c r="AA189" s="490"/>
      <c r="AB189" s="490"/>
      <c r="AC189" s="490"/>
      <c r="AD189" s="490"/>
      <c r="AE189" s="490"/>
      <c r="AF189" s="491"/>
      <c r="AG189" s="491"/>
      <c r="AH189" s="491"/>
      <c r="AI189" s="104"/>
      <c r="AJ189" s="477"/>
      <c r="AK189" s="477"/>
      <c r="AL189" s="477"/>
      <c r="AM189" s="477"/>
      <c r="AN189" s="477"/>
      <c r="AO189" s="477"/>
      <c r="AP189" s="477"/>
      <c r="AQ189" s="477"/>
      <c r="AR189" s="477"/>
      <c r="AS189" s="477"/>
      <c r="AT189" s="477"/>
      <c r="AU189" s="477"/>
      <c r="AV189" s="477"/>
      <c r="AW189" s="477"/>
      <c r="AX189" s="477"/>
      <c r="AY189" s="563"/>
      <c r="AZ189" s="564"/>
      <c r="BA189" s="564"/>
      <c r="BB189" s="564"/>
      <c r="BC189" s="564"/>
      <c r="BD189" s="477"/>
      <c r="BE189" s="477"/>
      <c r="BF189" s="477"/>
      <c r="BG189" s="477"/>
      <c r="BH189" s="477"/>
      <c r="BI189" s="477"/>
      <c r="BJ189" s="477"/>
      <c r="BK189" s="477"/>
      <c r="BL189" s="477"/>
      <c r="BM189" s="477"/>
      <c r="BN189" s="477"/>
      <c r="BO189" s="477"/>
      <c r="BP189" s="477"/>
      <c r="BQ189" s="477"/>
      <c r="BR189" s="477"/>
      <c r="BS189" s="290"/>
      <c r="BT189" s="104"/>
      <c r="BU189" s="104"/>
      <c r="BV189" s="104"/>
      <c r="BW189" s="555"/>
      <c r="BX189" s="555"/>
      <c r="BY189" s="555"/>
      <c r="BZ189" s="555"/>
      <c r="CA189" s="473"/>
      <c r="CB189" s="492"/>
      <c r="CC189" s="1164" t="s">
        <v>393</v>
      </c>
      <c r="CD189" s="1165"/>
      <c r="CE189" s="1165"/>
      <c r="CF189" s="1166"/>
      <c r="CG189" s="1162" t="s">
        <v>560</v>
      </c>
      <c r="CH189" s="1163"/>
      <c r="CI189" s="556" t="s">
        <v>553</v>
      </c>
    </row>
    <row r="190" spans="1:93" s="121" customFormat="1" x14ac:dyDescent="0.2">
      <c r="A190" s="224" t="s">
        <v>402</v>
      </c>
      <c r="B190" s="119"/>
      <c r="C190" s="224"/>
      <c r="D190" s="120"/>
      <c r="E190" s="457"/>
      <c r="F190" s="120"/>
      <c r="G190" s="120"/>
      <c r="H190" s="120"/>
      <c r="I190" s="120"/>
      <c r="J190" s="120"/>
      <c r="K190" s="120"/>
      <c r="L190" s="113"/>
      <c r="M190" s="120"/>
      <c r="N190" s="120"/>
      <c r="O190" s="120"/>
      <c r="P190" s="113"/>
      <c r="Q190" s="120"/>
      <c r="R190" s="120"/>
      <c r="S190" s="224"/>
      <c r="T190" s="224"/>
      <c r="U190" s="557"/>
      <c r="V190" s="557"/>
      <c r="W190" s="558"/>
      <c r="X190" s="558"/>
      <c r="Y190" s="558"/>
      <c r="Z190" s="558"/>
      <c r="AA190" s="558"/>
      <c r="AB190" s="558"/>
      <c r="AC190" s="558"/>
      <c r="AD190" s="558"/>
      <c r="AE190" s="558"/>
      <c r="AF190" s="559"/>
      <c r="AG190" s="559"/>
      <c r="AH190" s="559"/>
      <c r="AI190" s="104"/>
      <c r="AJ190" s="559"/>
      <c r="AK190" s="559"/>
      <c r="AL190" s="559"/>
      <c r="AM190" s="559"/>
      <c r="AN190" s="559"/>
      <c r="AO190" s="559"/>
      <c r="AP190" s="559"/>
      <c r="AQ190" s="559"/>
      <c r="AR190" s="559"/>
      <c r="AS190" s="559"/>
      <c r="AT190" s="559"/>
      <c r="AU190" s="559"/>
      <c r="AV190" s="559"/>
      <c r="AW190" s="559"/>
      <c r="AX190" s="559"/>
      <c r="AY190" s="559"/>
      <c r="AZ190" s="559"/>
      <c r="BA190" s="559"/>
      <c r="BB190" s="559"/>
      <c r="BC190" s="559"/>
      <c r="BD190" s="559"/>
      <c r="BE190" s="559"/>
      <c r="BF190" s="559"/>
      <c r="BG190" s="559"/>
      <c r="BH190" s="559"/>
      <c r="BI190" s="559"/>
      <c r="BJ190" s="559"/>
      <c r="BK190" s="559"/>
      <c r="BL190" s="559"/>
      <c r="BM190" s="559"/>
      <c r="BN190" s="559"/>
      <c r="BO190" s="559"/>
      <c r="BP190" s="559"/>
      <c r="BQ190" s="559"/>
      <c r="BR190" s="559"/>
      <c r="BS190" s="559"/>
      <c r="BT190" s="559"/>
      <c r="BU190" s="559"/>
      <c r="BV190" s="559"/>
      <c r="BW190" s="475"/>
      <c r="BX190" s="475"/>
      <c r="BY190" s="475"/>
      <c r="BZ190" s="475"/>
      <c r="CA190" s="475"/>
      <c r="CB190" s="475"/>
      <c r="CC190" s="626"/>
      <c r="CD190" s="560"/>
      <c r="CE190" s="560"/>
      <c r="CF190" s="560"/>
      <c r="CG190" s="560"/>
      <c r="CH190" s="560"/>
      <c r="CI190" s="560"/>
      <c r="CJ190" s="560"/>
      <c r="CK190" s="560"/>
      <c r="CL190" s="560"/>
      <c r="CM190" s="560"/>
      <c r="CN190" s="560"/>
      <c r="CO190" s="561"/>
    </row>
    <row r="191" spans="1:93" s="183" customFormat="1" ht="87" customHeight="1" x14ac:dyDescent="0.2">
      <c r="A191" s="228" t="s">
        <v>73</v>
      </c>
      <c r="B191" s="184" t="s">
        <v>421</v>
      </c>
      <c r="C191" s="293" t="s">
        <v>114</v>
      </c>
      <c r="D191" s="173" t="s">
        <v>53</v>
      </c>
      <c r="E191" s="173" t="s">
        <v>499</v>
      </c>
      <c r="F191" s="173" t="s">
        <v>394</v>
      </c>
      <c r="G191" s="173" t="s">
        <v>242</v>
      </c>
      <c r="H191" s="173" t="s">
        <v>563</v>
      </c>
      <c r="I191" s="173" t="s">
        <v>236</v>
      </c>
      <c r="J191" s="173" t="s">
        <v>240</v>
      </c>
      <c r="K191" s="173" t="s">
        <v>238</v>
      </c>
      <c r="L191" s="173" t="s">
        <v>554</v>
      </c>
      <c r="M191" s="173" t="s">
        <v>241</v>
      </c>
      <c r="N191" s="173" t="s">
        <v>237</v>
      </c>
      <c r="O191" s="173" t="s">
        <v>243</v>
      </c>
      <c r="P191" s="173" t="s">
        <v>239</v>
      </c>
      <c r="Q191" s="173" t="s">
        <v>555</v>
      </c>
      <c r="R191" s="173" t="s">
        <v>244</v>
      </c>
      <c r="S191" s="220" t="s">
        <v>245</v>
      </c>
      <c r="T191" s="220" t="s">
        <v>256</v>
      </c>
      <c r="U191" s="500" t="s">
        <v>53</v>
      </c>
      <c r="V191" s="500" t="s">
        <v>396</v>
      </c>
      <c r="W191" s="501" t="s">
        <v>508</v>
      </c>
      <c r="X191" s="501" t="s">
        <v>509</v>
      </c>
      <c r="Y191" s="501" t="s">
        <v>510</v>
      </c>
      <c r="Z191" s="501" t="s">
        <v>512</v>
      </c>
      <c r="AA191" s="501" t="s">
        <v>513</v>
      </c>
      <c r="AB191" s="501" t="s">
        <v>514</v>
      </c>
      <c r="AC191" s="501" t="s">
        <v>506</v>
      </c>
      <c r="AD191" s="501" t="s">
        <v>507</v>
      </c>
      <c r="AE191" s="501" t="s">
        <v>511</v>
      </c>
      <c r="AF191" s="501" t="s">
        <v>503</v>
      </c>
      <c r="AG191" s="501" t="s">
        <v>504</v>
      </c>
      <c r="AH191" s="501" t="s">
        <v>505</v>
      </c>
      <c r="AI191" s="502"/>
      <c r="AJ191" s="502" t="s">
        <v>246</v>
      </c>
      <c r="AK191" s="502" t="s">
        <v>247</v>
      </c>
      <c r="AL191" s="503" t="s">
        <v>248</v>
      </c>
      <c r="AM191" s="503" t="s">
        <v>249</v>
      </c>
      <c r="AN191" s="504" t="s">
        <v>250</v>
      </c>
      <c r="AO191" s="502" t="s">
        <v>270</v>
      </c>
      <c r="AP191" s="502" t="s">
        <v>271</v>
      </c>
      <c r="AQ191" s="503" t="s">
        <v>251</v>
      </c>
      <c r="AR191" s="503" t="s">
        <v>14</v>
      </c>
      <c r="AS191" s="503" t="s">
        <v>252</v>
      </c>
      <c r="AT191" s="503" t="s">
        <v>253</v>
      </c>
      <c r="AU191" s="503" t="s">
        <v>579</v>
      </c>
      <c r="AV191" s="503" t="s">
        <v>578</v>
      </c>
      <c r="AW191" s="503" t="s">
        <v>254</v>
      </c>
      <c r="AX191" s="503" t="s">
        <v>255</v>
      </c>
      <c r="AY191" s="503" t="s">
        <v>391</v>
      </c>
      <c r="AZ191" s="503" t="s">
        <v>267</v>
      </c>
      <c r="BA191" s="503" t="s">
        <v>272</v>
      </c>
      <c r="BB191" s="503" t="s">
        <v>273</v>
      </c>
      <c r="BC191" s="502" t="s">
        <v>539</v>
      </c>
      <c r="BD191" s="503"/>
      <c r="BE191" s="502" t="s">
        <v>257</v>
      </c>
      <c r="BF191" s="502" t="s">
        <v>258</v>
      </c>
      <c r="BG191" s="503" t="s">
        <v>259</v>
      </c>
      <c r="BH191" s="503" t="s">
        <v>260</v>
      </c>
      <c r="BI191" s="504" t="s">
        <v>261</v>
      </c>
      <c r="BJ191" s="502" t="s">
        <v>275</v>
      </c>
      <c r="BK191" s="502" t="s">
        <v>274</v>
      </c>
      <c r="BL191" s="503" t="s">
        <v>262</v>
      </c>
      <c r="BM191" s="503" t="s">
        <v>14</v>
      </c>
      <c r="BN191" s="503" t="s">
        <v>263</v>
      </c>
      <c r="BO191" s="503" t="s">
        <v>264</v>
      </c>
      <c r="BP191" s="503" t="s">
        <v>542</v>
      </c>
      <c r="BQ191" s="503" t="s">
        <v>265</v>
      </c>
      <c r="BR191" s="503" t="s">
        <v>266</v>
      </c>
      <c r="BS191" s="503" t="s">
        <v>392</v>
      </c>
      <c r="BT191" s="503" t="s">
        <v>276</v>
      </c>
      <c r="BU191" s="503" t="s">
        <v>277</v>
      </c>
      <c r="BV191" s="503" t="s">
        <v>278</v>
      </c>
      <c r="BW191" s="503" t="s">
        <v>556</v>
      </c>
      <c r="BX191" s="503" t="s">
        <v>559</v>
      </c>
      <c r="BY191" s="503" t="s">
        <v>557</v>
      </c>
      <c r="BZ191" s="503" t="s">
        <v>558</v>
      </c>
      <c r="CA191" s="505" t="s">
        <v>543</v>
      </c>
      <c r="CB191" s="506"/>
      <c r="CC191" s="622" t="s">
        <v>279</v>
      </c>
      <c r="CD191" s="506" t="s">
        <v>280</v>
      </c>
      <c r="CE191" s="506" t="s">
        <v>281</v>
      </c>
      <c r="CF191" s="506" t="s">
        <v>282</v>
      </c>
      <c r="CG191" s="506" t="s">
        <v>283</v>
      </c>
      <c r="CH191" s="506" t="s">
        <v>284</v>
      </c>
      <c r="CI191" s="506" t="s">
        <v>545</v>
      </c>
      <c r="CJ191" s="507"/>
      <c r="CK191" s="507"/>
      <c r="CL191" s="506" t="s">
        <v>422</v>
      </c>
      <c r="CM191" s="506" t="s">
        <v>516</v>
      </c>
      <c r="CN191" s="506" t="s">
        <v>423</v>
      </c>
      <c r="CO191" s="508" t="s">
        <v>517</v>
      </c>
    </row>
    <row r="192" spans="1:93" s="16" customFormat="1" ht="27" customHeight="1" x14ac:dyDescent="0.2">
      <c r="A192" s="229" t="s">
        <v>5</v>
      </c>
      <c r="B192" s="185" t="s">
        <v>28</v>
      </c>
      <c r="C192" s="294" t="s">
        <v>5</v>
      </c>
      <c r="D192" s="174" t="s">
        <v>119</v>
      </c>
      <c r="E192" s="174" t="s">
        <v>498</v>
      </c>
      <c r="F192" s="174" t="s">
        <v>268</v>
      </c>
      <c r="G192" s="174" t="s">
        <v>60</v>
      </c>
      <c r="H192" s="174"/>
      <c r="I192" s="174" t="s">
        <v>28</v>
      </c>
      <c r="J192" s="174" t="s">
        <v>15</v>
      </c>
      <c r="K192" s="174" t="s">
        <v>269</v>
      </c>
      <c r="L192" s="174" t="s">
        <v>61</v>
      </c>
      <c r="M192" s="174" t="s">
        <v>5</v>
      </c>
      <c r="N192" s="174" t="s">
        <v>28</v>
      </c>
      <c r="O192" s="174" t="s">
        <v>15</v>
      </c>
      <c r="P192" s="174" t="s">
        <v>269</v>
      </c>
      <c r="Q192" s="174" t="s">
        <v>61</v>
      </c>
      <c r="R192" s="174" t="s">
        <v>5</v>
      </c>
      <c r="S192" s="221" t="s">
        <v>16</v>
      </c>
      <c r="T192" s="221" t="s">
        <v>16</v>
      </c>
      <c r="U192" s="509" t="s">
        <v>59</v>
      </c>
      <c r="V192" s="509" t="s">
        <v>5</v>
      </c>
      <c r="W192" s="510" t="s">
        <v>60</v>
      </c>
      <c r="X192" s="510" t="s">
        <v>60</v>
      </c>
      <c r="Y192" s="510" t="s">
        <v>60</v>
      </c>
      <c r="Z192" s="511" t="s">
        <v>60</v>
      </c>
      <c r="AA192" s="511" t="s">
        <v>60</v>
      </c>
      <c r="AB192" s="511" t="s">
        <v>60</v>
      </c>
      <c r="AC192" s="510" t="s">
        <v>60</v>
      </c>
      <c r="AD192" s="510" t="s">
        <v>60</v>
      </c>
      <c r="AE192" s="510"/>
      <c r="AF192" s="511" t="s">
        <v>60</v>
      </c>
      <c r="AG192" s="511" t="s">
        <v>60</v>
      </c>
      <c r="AH192" s="511" t="s">
        <v>60</v>
      </c>
      <c r="AI192" s="512"/>
      <c r="AJ192" s="512" t="s">
        <v>17</v>
      </c>
      <c r="AK192" s="512" t="s">
        <v>18</v>
      </c>
      <c r="AL192" s="513" t="s">
        <v>51</v>
      </c>
      <c r="AM192" s="514" t="s">
        <v>60</v>
      </c>
      <c r="AN192" s="515" t="s">
        <v>52</v>
      </c>
      <c r="AO192" s="516" t="s">
        <v>18</v>
      </c>
      <c r="AP192" s="516" t="s">
        <v>18</v>
      </c>
      <c r="AQ192" s="517" t="s">
        <v>60</v>
      </c>
      <c r="AR192" s="517" t="s">
        <v>18</v>
      </c>
      <c r="AS192" s="517" t="s">
        <v>18</v>
      </c>
      <c r="AT192" s="517" t="s">
        <v>17</v>
      </c>
      <c r="AU192" s="517" t="s">
        <v>538</v>
      </c>
      <c r="AV192" s="517" t="s">
        <v>59</v>
      </c>
      <c r="AW192" s="517" t="s">
        <v>18</v>
      </c>
      <c r="AX192" s="517" t="s">
        <v>59</v>
      </c>
      <c r="AY192" s="517" t="s">
        <v>59</v>
      </c>
      <c r="AZ192" s="517" t="s">
        <v>59</v>
      </c>
      <c r="BA192" s="517" t="s">
        <v>59</v>
      </c>
      <c r="BB192" s="517" t="s">
        <v>59</v>
      </c>
      <c r="BC192" s="512" t="s">
        <v>59</v>
      </c>
      <c r="BD192" s="518"/>
      <c r="BE192" s="512" t="s">
        <v>17</v>
      </c>
      <c r="BF192" s="512" t="s">
        <v>18</v>
      </c>
      <c r="BG192" s="513" t="s">
        <v>51</v>
      </c>
      <c r="BH192" s="514" t="s">
        <v>60</v>
      </c>
      <c r="BI192" s="515" t="s">
        <v>52</v>
      </c>
      <c r="BJ192" s="516" t="s">
        <v>18</v>
      </c>
      <c r="BK192" s="516" t="s">
        <v>18</v>
      </c>
      <c r="BL192" s="517" t="s">
        <v>60</v>
      </c>
      <c r="BM192" s="517" t="s">
        <v>18</v>
      </c>
      <c r="BN192" s="517" t="s">
        <v>18</v>
      </c>
      <c r="BO192" s="517" t="s">
        <v>17</v>
      </c>
      <c r="BP192" s="517" t="s">
        <v>538</v>
      </c>
      <c r="BQ192" s="517" t="s">
        <v>18</v>
      </c>
      <c r="BR192" s="517" t="s">
        <v>59</v>
      </c>
      <c r="BS192" s="517" t="s">
        <v>59</v>
      </c>
      <c r="BT192" s="517" t="s">
        <v>59</v>
      </c>
      <c r="BU192" s="517" t="s">
        <v>59</v>
      </c>
      <c r="BV192" s="517" t="s">
        <v>59</v>
      </c>
      <c r="BW192" s="519" t="s">
        <v>386</v>
      </c>
      <c r="BX192" s="519" t="s">
        <v>386</v>
      </c>
      <c r="BY192" s="519" t="s">
        <v>387</v>
      </c>
      <c r="BZ192" s="519" t="s">
        <v>387</v>
      </c>
      <c r="CA192" s="519" t="s">
        <v>59</v>
      </c>
      <c r="CB192" s="520"/>
      <c r="CC192" s="623" t="s">
        <v>59</v>
      </c>
      <c r="CD192" s="520" t="s">
        <v>59</v>
      </c>
      <c r="CE192" s="520" t="s">
        <v>59</v>
      </c>
      <c r="CF192" s="520" t="s">
        <v>59</v>
      </c>
      <c r="CG192" s="520" t="s">
        <v>386</v>
      </c>
      <c r="CH192" s="520" t="s">
        <v>387</v>
      </c>
      <c r="CI192" s="520" t="s">
        <v>59</v>
      </c>
      <c r="CJ192" s="521"/>
      <c r="CK192" s="521"/>
      <c r="CL192" s="520" t="s">
        <v>28</v>
      </c>
      <c r="CM192" s="520" t="s">
        <v>59</v>
      </c>
      <c r="CN192" s="520" t="s">
        <v>28</v>
      </c>
      <c r="CO192" s="522" t="s">
        <v>59</v>
      </c>
    </row>
    <row r="193" spans="1:93" x14ac:dyDescent="0.2">
      <c r="A193" s="230"/>
      <c r="B193" s="164"/>
      <c r="C193" s="230"/>
      <c r="D193" s="169"/>
      <c r="E193" s="165"/>
      <c r="F193" s="165"/>
      <c r="G193" s="165"/>
      <c r="H193" s="165"/>
      <c r="I193" s="166"/>
      <c r="J193" s="167"/>
      <c r="K193" s="166"/>
      <c r="L193" s="166"/>
      <c r="M193" s="167"/>
      <c r="N193" s="166"/>
      <c r="O193" s="166"/>
      <c r="P193" s="166"/>
      <c r="Q193" s="167"/>
      <c r="R193" s="167"/>
      <c r="S193" s="222" t="str">
        <f>IF(ISBLANK(A193),"",IF(ISNA(VLOOKUP(I193,Veg_Parameters!$A$3:$N$65,3,FALSE)),0,(VLOOKUP(I193,Veg_Parameters!$A$3:$N$65,3,FALSE))))</f>
        <v/>
      </c>
      <c r="T193" s="222" t="str">
        <f>IF(ISBLANK(N193),"",IF(ISNA(VLOOKUP(N193,Veg_Parameters!$A$3:$N$65,3,FALSE)),0,(VLOOKUP(N193,Veg_Parameters!$A$3:$N$65,3,FALSE))))</f>
        <v/>
      </c>
      <c r="U193" s="523">
        <f>IF(ISBLANK(A193),0,0.092903*D193)</f>
        <v>0</v>
      </c>
      <c r="V193" s="523">
        <f t="shared" ref="V193:V217" si="280">IF(ISBLANK(A193),0, IF(F193="H", 5, IF(F193="M", 3, IF(F193="L", 1.5, 0))))</f>
        <v>0</v>
      </c>
      <c r="W193" s="524">
        <f>IF(ISBLANK(A193),0,IF(ISNA(VLOOKUP($I193,Veg_Parameters!$A$3:$N$65,10,FALSE)),0,(VLOOKUP($I193,Veg_Parameters!$A$3:$N$65,10,FALSE))))</f>
        <v>0</v>
      </c>
      <c r="X193" s="524">
        <f>IF(ISBLANK(A193),0,IF(ISNA(VLOOKUP($I193,Veg_Parameters!$A$3:$N$65,11,FALSE)),0,(VLOOKUP($I193,Veg_Parameters!$A$3:$N$65,11,FALSE))))</f>
        <v>0</v>
      </c>
      <c r="Y193" s="524">
        <f>IF(ISBLANK(A193),0,IF(ISNA(VLOOKUP($I193,Veg_Parameters!$A$3:$N$65,12,FALSE)),0,(VLOOKUP($I193,Veg_Parameters!$A$3:$N$65,12,FALSE))))</f>
        <v>0</v>
      </c>
      <c r="Z193" s="525">
        <f t="shared" ref="Z193:Z217" si="281">IF($E193="C",$W193,IF($E193="F",$X193,IF($E193="M",1,0)))</f>
        <v>0</v>
      </c>
      <c r="AA193" s="525">
        <f t="shared" ref="AA193:AA217" si="282">IF(ISBLANK(E193), 0, IF($O$9="L", $Y193, IF($O$9 = "H", 1, IF($O$9="M", 0.8, " "))))</f>
        <v>0</v>
      </c>
      <c r="AB193" s="525">
        <f t="shared" ref="AB193:AB217" si="283">IF(I193&gt;0, Z193*AA193, 0)</f>
        <v>0</v>
      </c>
      <c r="AC193" s="524">
        <f>IF(ISBLANK(N193),0,IF(ISNA(VLOOKUP($N193,Veg_Parameters!$A$3:$N$65,10,FALSE)),0,(VLOOKUP($N193,Veg_Parameters!$A$3:$N$65,10,FALSE))))</f>
        <v>0</v>
      </c>
      <c r="AD193" s="524">
        <f>IF(ISBLANK(N193),0,IF(ISNA(VLOOKUP($N193,Veg_Parameters!$A$3:$N$65,11,FALSE)),0,(VLOOKUP($N193,Veg_Parameters!$A$3:$N$65,11,FALSE))))</f>
        <v>0</v>
      </c>
      <c r="AE193" s="524">
        <f>IF(ISBLANK(N193), 0, IF(ISNA(VLOOKUP($N193,Veg_Parameters!$A$3:$N$65,12,FALSE)),0,(VLOOKUP($N193,Veg_Parameters!$A$3:$N$65,12,FALSE))))</f>
        <v>0</v>
      </c>
      <c r="AF193" s="523">
        <f t="shared" ref="AF193:AF217" si="284">IF(N193="", 0,IF($E193="C",W193,IF($E193="F",X193,IF($E193="M",1," "))))</f>
        <v>0</v>
      </c>
      <c r="AG193" s="523">
        <f t="shared" ref="AG193:AG217" si="285">IF(N193="", 0,IF($O$9="L", $AE193, IF($O$9 = "H", 1, IF($O$9="M", 0.8, ""))))</f>
        <v>0</v>
      </c>
      <c r="AH193" s="523">
        <f t="shared" ref="AH193:AH217" si="286">IF(N193&gt;0, AF193*AG193, 0)</f>
        <v>0</v>
      </c>
      <c r="AI193" s="526"/>
      <c r="AJ193" s="527">
        <f>AB193*(IF(ISNA(VLOOKUP($I193,Veg_Parameters!$A$3:$N$65,5,FALSE)),0,(VLOOKUP($I193,Veg_Parameters!$A$3:$N$65,5,FALSE))))</f>
        <v>0</v>
      </c>
      <c r="AK193" s="527">
        <f>IF(ISNA(VLOOKUP($I193,Veg_Parameters!$A$3:$N$65,4,FALSE)),0,(VLOOKUP($I193,Veg_Parameters!$A$3:$N$65,4,FALSE)))</f>
        <v>0</v>
      </c>
      <c r="AL193" s="527">
        <f>AB193*(IF(ISNA(VLOOKUP($I193,Veg_Parameters!$A$3:$N$65,7,FALSE)),0, (VLOOKUP($I193,Veg_Parameters!$A$3:$N$65,7,FALSE))))</f>
        <v>0</v>
      </c>
      <c r="AM193" s="528">
        <f>IF(ISNA(VLOOKUP($I193,Veg_Parameters!$A$3:$N$65,6,FALSE)), 0, (VLOOKUP($I193,Veg_Parameters!$A$3:$N$65,6,FALSE)))</f>
        <v>0</v>
      </c>
      <c r="AN193" s="529">
        <f t="shared" ref="AN193:AN217" si="287">IF($O$7=1,J193+$O$8,J193)</f>
        <v>20</v>
      </c>
      <c r="AO193" s="529">
        <f t="shared" ref="AO193:AO217" si="288">IF(AJ193&gt;0, AK193*(1-EXP(-AJ193*AN193/AK193)), 0)</f>
        <v>0</v>
      </c>
      <c r="AP193" s="529">
        <f t="shared" ref="AP193:AP217" si="289">IF(K193&gt;0, K193*0.3048, AO193)</f>
        <v>0</v>
      </c>
      <c r="AQ193" s="530">
        <f>IF(AL193&gt;0, AM193*(1-EXP(-AL193*AN193/AM193)), 0)</f>
        <v>0</v>
      </c>
      <c r="AR193" s="527" t="s">
        <v>3</v>
      </c>
      <c r="AS193" s="527">
        <f>IF(ISNA(VLOOKUP($I193,Veg_Parameters!$A$3:$N$65,8,FALSE)), 0, (VLOOKUP($I193,Veg_Parameters!$A$3:$N$65,8,FALSE)))</f>
        <v>0</v>
      </c>
      <c r="AT193" s="527">
        <f>AB193*(IF(ISNA(VLOOKUP($I193,Veg_Parameters!$A$3:$N$65,9,FALSE)), 0, (VLOOKUP($I193,Veg_Parameters!$A$3:$N$65,9,FALSE))))</f>
        <v>0</v>
      </c>
      <c r="AU193" s="527">
        <f>IF(ISBLANK(A193),0,VLOOKUP($I193,Veg_Parameters!$A$4:$U$65,21,))</f>
        <v>0</v>
      </c>
      <c r="AV193" s="527">
        <f>IF(OR(I193=3500,I193=3600),U193,0)</f>
        <v>0</v>
      </c>
      <c r="AW193" s="529">
        <f>IF(AT193&gt;0, AS193*(1-EXP(-AT193*AN193/AS193)),0)</f>
        <v>0</v>
      </c>
      <c r="AX193" s="529">
        <f>PI()*(0.5*AW193)^2</f>
        <v>0</v>
      </c>
      <c r="AY193" s="529">
        <f t="shared" ref="AY193:AY217" si="290">IF(AX193*L193*($D193/1000)&lt;$U193, AX193*L193*($D193/1000), $U193)</f>
        <v>0</v>
      </c>
      <c r="AZ193" s="529">
        <f>+IF(AP193&gt;4.6,AY193,0)</f>
        <v>0</v>
      </c>
      <c r="BA193" s="529">
        <f>IF(AND(AP193&gt;0.9,AP193&lt;4.6),AY193,IF(AP193&gt;4.6,0.5*AY193,0))</f>
        <v>0</v>
      </c>
      <c r="BB193" s="529">
        <f>IF(AND(AP193&gt;0,AP193&lt;0.9),AY193,IF(AND(AP193&gt;0.9,AP193&lt;4.6),AY193*0.5,IF(AP193&gt;4.6,AY193*0.25,0)))</f>
        <v>0</v>
      </c>
      <c r="BC193" s="529">
        <f t="shared" ref="BC193:BC217" si="291">IF(ISBLANK(A193),0,(AY193*AU193))</f>
        <v>0</v>
      </c>
      <c r="BD193" s="531"/>
      <c r="BE193" s="527">
        <f>AH193*(IF(ISNA(VLOOKUP($N193,Veg_Parameters!$A$3:$N$65,5,FALSE)),0,(VLOOKUP($N193,Veg_Parameters!$A$3:$N$65,5,FALSE))))</f>
        <v>0</v>
      </c>
      <c r="BF193" s="527">
        <f>IF(ISNA(VLOOKUP($N193,Veg_Parameters!$A$3:$N$65,4,FALSE)),0,(VLOOKUP($N193,Veg_Parameters!$A$3:$N$65,4,FALSE)))</f>
        <v>0</v>
      </c>
      <c r="BG193" s="527">
        <f>AH193*(IF(ISNA(VLOOKUP($N193,Veg_Parameters!$A$3:$N$65,7,FALSE)),0, (VLOOKUP($N193,Veg_Parameters!$A$3:$N$65,7,FALSE))))</f>
        <v>0</v>
      </c>
      <c r="BH193" s="527">
        <f>IF(ISNA(VLOOKUP($N193,Veg_Parameters!$A$3:$N$65,6,FALSE)), 0, (VLOOKUP($N193,Veg_Parameters!$A$3:$N$65,6,FALSE)))</f>
        <v>0</v>
      </c>
      <c r="BI193" s="529">
        <f t="shared" ref="BI193:BI217" si="292">IF($O$7=1,O193+$O$8,O193)</f>
        <v>20</v>
      </c>
      <c r="BJ193" s="529">
        <f>IF(BE193&gt;0, BF193*(1-EXP(-BE193*BI193/BF193)), 0)</f>
        <v>0</v>
      </c>
      <c r="BK193" s="529">
        <f t="shared" ref="BK193:BK217" si="293">IF(P193&gt;0, P193*0.3048, BJ193)</f>
        <v>0</v>
      </c>
      <c r="BL193" s="530">
        <f>IF(BG193&gt;0, BH193*(1-EXP(-BG193*BI193/BH193)), 0)</f>
        <v>0</v>
      </c>
      <c r="BM193" s="527" t="s">
        <v>3</v>
      </c>
      <c r="BN193" s="527">
        <f>IF(ISNA(VLOOKUP(N193,Veg_Parameters!$A$3:$N$65,8,FALSE)), 0, (VLOOKUP($N193,Veg_Parameters!$A$3:$N$65,8,FALSE)))</f>
        <v>0</v>
      </c>
      <c r="BO193" s="527">
        <f>AH193*(IF(ISNA(VLOOKUP($N193,Veg_Parameters!$A$3:$N$65,9,FALSE)), 0, (VLOOKUP($N193,Veg_Parameters!$A$3:$N$65,9,FALSE))))</f>
        <v>0</v>
      </c>
      <c r="BP193" s="527" t="str">
        <f>IF(ISBLANK(N193),"0",VLOOKUP($N193,Veg_Parameters!$A$4:$U$65,21,))</f>
        <v>0</v>
      </c>
      <c r="BQ193" s="529">
        <f>IF(BO193&gt;0, BN193*(1-EXP(-BO193*BI193/BN193)),0)</f>
        <v>0</v>
      </c>
      <c r="BR193" s="529">
        <f>PI()*(0.5*BQ193)^2</f>
        <v>0</v>
      </c>
      <c r="BS193" s="529">
        <f t="shared" ref="BS193:BS217" si="294">IF(BR193*Q193*($D193/1000)&lt;$U193, BR193*Q193*($D193/1000), $U193)</f>
        <v>0</v>
      </c>
      <c r="BT193" s="529">
        <f>+IF(BK193&gt;4.6,BS193,0)</f>
        <v>0</v>
      </c>
      <c r="BU193" s="529">
        <f>IF(AND(BK193&lt;4.6,BK193&gt;0.9),BS193,IF(BK193&gt;4.6,(0.5*BS193),0))</f>
        <v>0</v>
      </c>
      <c r="BV193" s="529">
        <f>IF(AND(BK193&gt;0,BK193&lt;0.9),BS193,IF(AND(BK193&gt;0.9,BK193&lt;4.6),BS193*0.5,IF(BK193&gt;4.6,(BS193*0.25),0)))</f>
        <v>0</v>
      </c>
      <c r="BW193" s="532" t="str">
        <f t="shared" ref="BW193:BW217" si="295">IF(AP193&gt;4.57,I193,"")</f>
        <v/>
      </c>
      <c r="BX193" s="532" t="str">
        <f t="shared" ref="BX193:BX217" si="296">IF(BK193&gt;4.57,N193,"")</f>
        <v/>
      </c>
      <c r="BY193" s="532" t="str">
        <f t="shared" ref="BY193:BY217" si="297">IF((AND(AP193&gt;0.76,AP193&lt;4.6)),I193,"")</f>
        <v/>
      </c>
      <c r="BZ193" s="532" t="str">
        <f t="shared" ref="BZ193:BZ217" si="298">IF((AND(BK193&gt;0.76,BK193&lt;4.6)),N193,"")</f>
        <v/>
      </c>
      <c r="CA193" s="532">
        <f t="shared" ref="CA193:CA217" si="299">IF(ISBLANK(N193),0,(BS193*BP193))</f>
        <v>0</v>
      </c>
      <c r="CB193" s="533"/>
      <c r="CC193" s="624">
        <f t="shared" ref="CC193:CC217" si="300">IF(ISERROR(IF((AY193+BS193)&lt;$U193,(AY193*AQ193+BS193*BL193),(((AQ193*AY193+BL193*BS193)/(AY193+BS193))*$U193))),0,IF((AY193+BS193)&lt;$U193,(AY193*AQ193+BS193*BL193),(((AQ193*AY193+BL193*BS193)/(AY193+BS193))*$U193)))</f>
        <v>0</v>
      </c>
      <c r="CD193" s="534">
        <f t="shared" ref="CD193:CD217" si="301">IF(ISERROR(IF((AZ193+BT193)&lt;$U193,(AQ193*AZ193+BT193*BL193),(((AQ193*AZ193+BL193*BT193)/(AZ193+BT193))*$U193))),0,IF((AZ193+BT193)&lt;$U193,(AQ193*AZ193+BT193*BL193),(((AQ193*AZ193+BL193*BT193)/(AZ193+BT193))*$U193)))</f>
        <v>0</v>
      </c>
      <c r="CE193" s="534">
        <f t="shared" ref="CE193:CE217" si="302">IF(ISERROR(IF((BA193+BU193)&lt;$U193,(AQ193*BA193+BL193*BU193),(((AQ193*BA193+BL193*BU193)/(BA193+BU193))*$U193))),0,IF((BA193+BU193)&lt;$U193,(AQ193*BA193+BL193*BU193),(((AQ193*BA193+BL193*BU193)/(BA193+BU193))*$U193)))</f>
        <v>0</v>
      </c>
      <c r="CF193" s="534">
        <f t="shared" ref="CF193:CF217" si="303">+IF(ISBLANK(A193),0,IF((BB193+BV193+(G193/100)*U193)&gt;U193,U193,(BB193+BV193+(G193/100)*U193)))</f>
        <v>0</v>
      </c>
      <c r="CG193" s="534"/>
      <c r="CH193" s="534"/>
      <c r="CI193" s="534">
        <f>BC193+CA193</f>
        <v>0</v>
      </c>
      <c r="CL193" s="534">
        <f>IF(ISNA(VLOOKUP(I193,Veg_Parameters!$A$3:$N$65,13,FALSE)),0,(VLOOKUP(I193,Veg_Parameters!$A$3:$N$65,13,FALSE)))</f>
        <v>0</v>
      </c>
      <c r="CM193" s="534">
        <f>+IF(ISBLANK(A193),0,IF(CL193="H",BB193,0))</f>
        <v>0</v>
      </c>
      <c r="CN193" s="534">
        <f>IF(ISNA(VLOOKUP(N193,Veg_Parameters!$A$3:$N$65,13,FALSE)),0,(VLOOKUP(N193,Veg_Parameters!$A$3:$N$65,13,FALSE)))</f>
        <v>0</v>
      </c>
      <c r="CO193" s="523">
        <f>+IF(ISBLANK(A193),0, IF(CN193="H", BV193, 0))</f>
        <v>0</v>
      </c>
    </row>
    <row r="194" spans="1:93" x14ac:dyDescent="0.2">
      <c r="A194" s="230"/>
      <c r="B194" s="171" t="str">
        <f>IF(ISBLANK(A194),"",$B$193)</f>
        <v/>
      </c>
      <c r="C194" s="230"/>
      <c r="D194" s="169"/>
      <c r="E194" s="165"/>
      <c r="F194" s="165"/>
      <c r="G194" s="165"/>
      <c r="H194" s="165"/>
      <c r="I194" s="166"/>
      <c r="J194" s="167"/>
      <c r="K194" s="166"/>
      <c r="L194" s="166"/>
      <c r="M194" s="167"/>
      <c r="N194" s="166"/>
      <c r="O194" s="166"/>
      <c r="P194" s="167"/>
      <c r="Q194" s="167"/>
      <c r="R194" s="167"/>
      <c r="S194" s="222" t="str">
        <f>IF(ISBLANK(A194),"",IF(ISNA(VLOOKUP(I194,Veg_Parameters!$A$3:$N$65,3,FALSE)),0,(VLOOKUP(I194,Veg_Parameters!$A$3:$N$65,3,FALSE))))</f>
        <v/>
      </c>
      <c r="T194" s="222" t="str">
        <f>IF(ISBLANK(N194),"",IF(ISNA(VLOOKUP(N194,Veg_Parameters!$A$3:$N$65,3,FALSE)),0,(VLOOKUP(N194,Veg_Parameters!$A$3:$N$65,3,FALSE))))</f>
        <v/>
      </c>
      <c r="U194" s="523">
        <f t="shared" ref="U194:U217" si="304">IF(ISBLANK(A194),0,0.092903*D194)</f>
        <v>0</v>
      </c>
      <c r="V194" s="523">
        <f t="shared" si="280"/>
        <v>0</v>
      </c>
      <c r="W194" s="524">
        <f>IF(ISBLANK(A194),0,IF(ISNA(VLOOKUP($I194,Veg_Parameters!$A$3:$N$65,10,FALSE)),0,(VLOOKUP($I194,Veg_Parameters!$A$3:$N$65,10,FALSE))))</f>
        <v>0</v>
      </c>
      <c r="X194" s="524">
        <f>IF(ISBLANK(A194),0,IF(ISNA(VLOOKUP($I194,Veg_Parameters!$A$3:$N$65,11,FALSE)),0,(VLOOKUP($I194,Veg_Parameters!$A$3:$N$65,11,FALSE))))</f>
        <v>0</v>
      </c>
      <c r="Y194" s="524">
        <f>IF(ISBLANK(A194),0,IF(ISNA(VLOOKUP($I194,Veg_Parameters!$A$3:$N$65,12,FALSE)),0,(VLOOKUP($I194,Veg_Parameters!$A$3:$N$65,12,FALSE))))</f>
        <v>0</v>
      </c>
      <c r="Z194" s="525">
        <f t="shared" si="281"/>
        <v>0</v>
      </c>
      <c r="AA194" s="525">
        <f t="shared" si="282"/>
        <v>0</v>
      </c>
      <c r="AB194" s="525">
        <f t="shared" si="283"/>
        <v>0</v>
      </c>
      <c r="AC194" s="524">
        <f>IF(ISBLANK(N194),0,IF(ISNA(VLOOKUP($N194,Veg_Parameters!$A$3:$N$65,10,FALSE)),0,(VLOOKUP($N194,Veg_Parameters!$A$3:$N$65,10,FALSE))))</f>
        <v>0</v>
      </c>
      <c r="AD194" s="524">
        <f>IF(ISBLANK(N194),0,IF(ISNA(VLOOKUP($N194,Veg_Parameters!$A$3:$N$65,11,FALSE)),0,(VLOOKUP($N194,Veg_Parameters!$A$3:$N$65,11,FALSE))))</f>
        <v>0</v>
      </c>
      <c r="AE194" s="524">
        <f>IF(ISBLANK(N194), 0, IF(ISNA(VLOOKUP($N194,Veg_Parameters!$A$3:$N$65,12,FALSE)),0,(VLOOKUP($N194,Veg_Parameters!$A$3:$N$65,12,FALSE))))</f>
        <v>0</v>
      </c>
      <c r="AF194" s="523">
        <f t="shared" si="284"/>
        <v>0</v>
      </c>
      <c r="AG194" s="523">
        <f t="shared" si="285"/>
        <v>0</v>
      </c>
      <c r="AH194" s="523">
        <f t="shared" si="286"/>
        <v>0</v>
      </c>
      <c r="AI194" s="526"/>
      <c r="AJ194" s="527">
        <f>AB194*(IF(ISNA(VLOOKUP($I194,Veg_Parameters!$A$3:$N$65,5,FALSE)),0,(VLOOKUP($I194,Veg_Parameters!$A$3:$N$65,5,FALSE))))</f>
        <v>0</v>
      </c>
      <c r="AK194" s="527">
        <f>IF(ISNA(VLOOKUP($I194,Veg_Parameters!$A$3:$N$65,4,FALSE)),0,(VLOOKUP($I194,Veg_Parameters!$A$3:$N$65,4,FALSE)))</f>
        <v>0</v>
      </c>
      <c r="AL194" s="527">
        <f>AB194*(IF(ISNA(VLOOKUP($I194,Veg_Parameters!$A$3:$N$65,7,FALSE)),0, (VLOOKUP($I194,Veg_Parameters!$A$3:$N$65,7,FALSE))))</f>
        <v>0</v>
      </c>
      <c r="AM194" s="528">
        <f>IF(ISNA(VLOOKUP($I194,Veg_Parameters!$A$3:$N$65,6,FALSE)), 0, (VLOOKUP($I194,Veg_Parameters!$A$3:$N$65,6,FALSE)))</f>
        <v>0</v>
      </c>
      <c r="AN194" s="529">
        <f t="shared" si="287"/>
        <v>20</v>
      </c>
      <c r="AO194" s="529">
        <f t="shared" si="288"/>
        <v>0</v>
      </c>
      <c r="AP194" s="529">
        <f t="shared" si="289"/>
        <v>0</v>
      </c>
      <c r="AQ194" s="530">
        <f t="shared" ref="AQ194:AQ217" si="305">IF(AL194&gt;0, AM194*(1-EXP(-AL194*AN194/AM194)), 0)</f>
        <v>0</v>
      </c>
      <c r="AR194" s="527" t="s">
        <v>3</v>
      </c>
      <c r="AS194" s="527">
        <f>IF(ISNA(VLOOKUP($I194,Veg_Parameters!$A$3:$N$65,8,FALSE)), 0, (VLOOKUP($I194,Veg_Parameters!$A$3:$N$65,8,FALSE)))</f>
        <v>0</v>
      </c>
      <c r="AT194" s="527">
        <f>AB194*(IF(ISNA(VLOOKUP($I194,Veg_Parameters!$A$3:$N$65,9,FALSE)), 0, (VLOOKUP($I194,Veg_Parameters!$A$3:$N$65,9,FALSE))))</f>
        <v>0</v>
      </c>
      <c r="AU194" s="527">
        <f>IF(ISBLANK(A194),0,VLOOKUP($I194,Veg_Parameters!$A$4:$U$65,21,))</f>
        <v>0</v>
      </c>
      <c r="AV194" s="527">
        <f t="shared" ref="AV194:AV217" si="306">IF(OR(I194=3500,I194=3600),U194,0)</f>
        <v>0</v>
      </c>
      <c r="AW194" s="529">
        <f t="shared" ref="AW194:AW217" si="307">IF(AT194&gt;0, AS194*(1-EXP(-AT194*AN194/AS194)),0)</f>
        <v>0</v>
      </c>
      <c r="AX194" s="529">
        <f t="shared" ref="AX194:AX217" si="308">PI()*(0.5*AW194)^2</f>
        <v>0</v>
      </c>
      <c r="AY194" s="529">
        <f t="shared" si="290"/>
        <v>0</v>
      </c>
      <c r="AZ194" s="529">
        <f t="shared" ref="AZ194:AZ217" si="309">+IF(AP194&gt;4.6,AY194,0)</f>
        <v>0</v>
      </c>
      <c r="BA194" s="529">
        <f t="shared" ref="BA194:BA217" si="310">IF(AND(AP194&gt;0.9,AP194&lt;4.6),AY194,IF(AP194&gt;4.6,0.5*AY194,0))</f>
        <v>0</v>
      </c>
      <c r="BB194" s="529">
        <f t="shared" ref="BB194:BB217" si="311">IF(AND(AP194&gt;0,AP194&lt;0.9),AY194,IF(AND(AP194&gt;0.9,AP194&lt;4.6),AY194*0.5,IF(AP194&gt;4.6,AY194*0.25,0)))</f>
        <v>0</v>
      </c>
      <c r="BC194" s="529">
        <f t="shared" si="291"/>
        <v>0</v>
      </c>
      <c r="BD194" s="531"/>
      <c r="BE194" s="527">
        <f>AH194*(IF(ISNA(VLOOKUP($N194,Veg_Parameters!$A$3:$N$65,5,FALSE)),0,(VLOOKUP($N194,Veg_Parameters!$A$3:$N$65,5,FALSE))))</f>
        <v>0</v>
      </c>
      <c r="BF194" s="527">
        <f>IF(ISNA(VLOOKUP($N194,Veg_Parameters!$A$3:$N$65,4,FALSE)),0,(VLOOKUP($N194,Veg_Parameters!$A$3:$N$65,4,FALSE)))</f>
        <v>0</v>
      </c>
      <c r="BG194" s="527">
        <f>AH194*(IF(ISNA(VLOOKUP($N194,Veg_Parameters!$A$3:$N$65,7,FALSE)),0, (VLOOKUP($N194,Veg_Parameters!$A$3:$N$65,7,FALSE))))</f>
        <v>0</v>
      </c>
      <c r="BH194" s="527">
        <f>IF(ISNA(VLOOKUP($N194,Veg_Parameters!$A$3:$N$65,6,FALSE)), 0, (VLOOKUP($N194,Veg_Parameters!$A$3:$N$65,6,FALSE)))</f>
        <v>0</v>
      </c>
      <c r="BI194" s="529">
        <f t="shared" si="292"/>
        <v>20</v>
      </c>
      <c r="BJ194" s="529">
        <f t="shared" ref="BJ194:BJ217" si="312">IF(BE194&gt;0, BF194*(1-EXP(-BE194*BI194/BF194)), 0)</f>
        <v>0</v>
      </c>
      <c r="BK194" s="529">
        <f t="shared" si="293"/>
        <v>0</v>
      </c>
      <c r="BL194" s="530">
        <f t="shared" ref="BL194:BL217" si="313">IF(BG194&gt;0, BH194*(1-EXP(-BG194*BI194/BH194)), 0)</f>
        <v>0</v>
      </c>
      <c r="BM194" s="527" t="s">
        <v>3</v>
      </c>
      <c r="BN194" s="527">
        <f>IF(ISNA(VLOOKUP(N194,Veg_Parameters!$A$3:$N$65,8,FALSE)), 0, (VLOOKUP($N194,Veg_Parameters!$A$3:$N$65,8,FALSE)))</f>
        <v>0</v>
      </c>
      <c r="BO194" s="527">
        <f>AH194*(IF(ISNA(VLOOKUP($N194,Veg_Parameters!$A$3:$N$65,9,FALSE)), 0, (VLOOKUP($N194,Veg_Parameters!$A$3:$N$65,9,FALSE))))</f>
        <v>0</v>
      </c>
      <c r="BP194" s="527" t="str">
        <f>IF(ISBLANK(N194),"0",VLOOKUP($N194,Veg_Parameters!$A$4:$U$65,21,))</f>
        <v>0</v>
      </c>
      <c r="BQ194" s="529">
        <f t="shared" ref="BQ194:BQ217" si="314">IF(BO194&gt;0, BN194*(1-EXP(-BO194*BI194/BN194)),0)</f>
        <v>0</v>
      </c>
      <c r="BR194" s="529">
        <f t="shared" ref="BR194:BR217" si="315">PI()*(0.5*BQ194)^2</f>
        <v>0</v>
      </c>
      <c r="BS194" s="529">
        <f t="shared" si="294"/>
        <v>0</v>
      </c>
      <c r="BT194" s="529">
        <f t="shared" ref="BT194:BT217" si="316">+IF(BK194&gt;4.6,BS194,0)</f>
        <v>0</v>
      </c>
      <c r="BU194" s="529">
        <f t="shared" ref="BU194:BU217" si="317">IF(AND(BK194&lt;4.6,BK194&gt;0.9),BS194,IF(BK194&gt;4.6,(0.5*BS194),0))</f>
        <v>0</v>
      </c>
      <c r="BV194" s="529">
        <f t="shared" ref="BV194:BV217" si="318">IF(AND(BK194&gt;0,BK194&lt;0.9),BS194,IF(AND(BK194&gt;0.9,BK194&lt;4.6),BS194*0.5,IF(BK194&gt;4.6,(BS194*0.25),0)))</f>
        <v>0</v>
      </c>
      <c r="BW194" s="532" t="str">
        <f t="shared" si="295"/>
        <v/>
      </c>
      <c r="BX194" s="532" t="str">
        <f t="shared" si="296"/>
        <v/>
      </c>
      <c r="BY194" s="532" t="str">
        <f t="shared" si="297"/>
        <v/>
      </c>
      <c r="BZ194" s="532" t="str">
        <f t="shared" si="298"/>
        <v/>
      </c>
      <c r="CA194" s="532">
        <f t="shared" si="299"/>
        <v>0</v>
      </c>
      <c r="CB194" s="533"/>
      <c r="CC194" s="624">
        <f t="shared" si="300"/>
        <v>0</v>
      </c>
      <c r="CD194" s="534">
        <f t="shared" si="301"/>
        <v>0</v>
      </c>
      <c r="CE194" s="534">
        <f t="shared" si="302"/>
        <v>0</v>
      </c>
      <c r="CF194" s="534">
        <f t="shared" si="303"/>
        <v>0</v>
      </c>
      <c r="CG194" s="534"/>
      <c r="CH194" s="534"/>
      <c r="CI194" s="534">
        <f t="shared" ref="CI194:CI217" si="319">BC194+CA194</f>
        <v>0</v>
      </c>
      <c r="CL194" s="534">
        <f>IF(ISNA(VLOOKUP(I194,Veg_Parameters!$A$3:$N$65,13,FALSE)),0,(VLOOKUP(I194,Veg_Parameters!$A$3:$N$65,13,FALSE)))</f>
        <v>0</v>
      </c>
      <c r="CM194" s="534">
        <f t="shared" ref="CM194:CM217" si="320">+IF(ISBLANK(A194),0,IF(CL194="H",BB194,0))</f>
        <v>0</v>
      </c>
      <c r="CN194" s="534">
        <f>IF(ISNA(VLOOKUP(N194,Veg_Parameters!$A$3:$N$65,13,FALSE)),0,(VLOOKUP(N194,Veg_Parameters!$A$3:$N$65,13,FALSE)))</f>
        <v>0</v>
      </c>
      <c r="CO194" s="523">
        <f t="shared" ref="CO194:CO217" si="321">+IF(ISBLANK(A194),0, IF(CN194="H", BV194, 0))</f>
        <v>0</v>
      </c>
    </row>
    <row r="195" spans="1:93" x14ac:dyDescent="0.2">
      <c r="A195" s="230"/>
      <c r="B195" s="171" t="str">
        <f t="shared" ref="B195:B217" si="322">IF(ISBLANK(A195),"",$B$193)</f>
        <v/>
      </c>
      <c r="C195" s="230"/>
      <c r="D195" s="169"/>
      <c r="E195" s="165"/>
      <c r="F195" s="165"/>
      <c r="G195" s="165"/>
      <c r="H195" s="165"/>
      <c r="I195" s="168"/>
      <c r="J195" s="167"/>
      <c r="K195" s="166"/>
      <c r="L195" s="166"/>
      <c r="M195" s="167"/>
      <c r="N195" s="168"/>
      <c r="O195" s="168"/>
      <c r="P195" s="167"/>
      <c r="Q195" s="167"/>
      <c r="R195" s="167"/>
      <c r="S195" s="222" t="str">
        <f>IF(ISBLANK(A195),"",IF(ISNA(VLOOKUP(I195,Veg_Parameters!$A$3:$N$65,3,FALSE)),0,(VLOOKUP(I195,Veg_Parameters!$A$3:$N$65,3,FALSE))))</f>
        <v/>
      </c>
      <c r="T195" s="222" t="str">
        <f>IF(ISBLANK(N195),"",IF(ISNA(VLOOKUP(N195,Veg_Parameters!$A$3:$N$65,3,FALSE)),0,(VLOOKUP(N195,Veg_Parameters!$A$3:$N$65,3,FALSE))))</f>
        <v/>
      </c>
      <c r="U195" s="523">
        <f t="shared" si="304"/>
        <v>0</v>
      </c>
      <c r="V195" s="523">
        <f t="shared" si="280"/>
        <v>0</v>
      </c>
      <c r="W195" s="524">
        <f>IF(ISBLANK(A195),0,IF(ISNA(VLOOKUP($I195,Veg_Parameters!$A$3:$N$65,10,FALSE)),0,(VLOOKUP($I195,Veg_Parameters!$A$3:$N$65,10,FALSE))))</f>
        <v>0</v>
      </c>
      <c r="X195" s="524">
        <f>IF(ISBLANK(A195),0,IF(ISNA(VLOOKUP($I195,Veg_Parameters!$A$3:$N$65,11,FALSE)),0,(VLOOKUP($I195,Veg_Parameters!$A$3:$N$65,11,FALSE))))</f>
        <v>0</v>
      </c>
      <c r="Y195" s="524">
        <f>IF(ISBLANK(A195),0,IF(ISNA(VLOOKUP($I195,Veg_Parameters!$A$3:$N$65,12,FALSE)),0,(VLOOKUP($I195,Veg_Parameters!$A$3:$N$65,12,FALSE))))</f>
        <v>0</v>
      </c>
      <c r="Z195" s="525">
        <f t="shared" si="281"/>
        <v>0</v>
      </c>
      <c r="AA195" s="525">
        <f t="shared" si="282"/>
        <v>0</v>
      </c>
      <c r="AB195" s="525">
        <f t="shared" si="283"/>
        <v>0</v>
      </c>
      <c r="AC195" s="524">
        <f>IF(ISBLANK(N195),0,IF(ISNA(VLOOKUP($N195,Veg_Parameters!$A$3:$N$65,10,FALSE)),0,(VLOOKUP($N195,Veg_Parameters!$A$3:$N$65,10,FALSE))))</f>
        <v>0</v>
      </c>
      <c r="AD195" s="524">
        <f>IF(ISBLANK(N195),0,IF(ISNA(VLOOKUP($N195,Veg_Parameters!$A$3:$N$65,11,FALSE)),0,(VLOOKUP($N195,Veg_Parameters!$A$3:$N$65,11,FALSE))))</f>
        <v>0</v>
      </c>
      <c r="AE195" s="524">
        <f>IF(ISBLANK(N195), 0, IF(ISNA(VLOOKUP($N195,Veg_Parameters!$A$3:$N$65,12,FALSE)),0,(VLOOKUP($N195,Veg_Parameters!$A$3:$N$65,12,FALSE))))</f>
        <v>0</v>
      </c>
      <c r="AF195" s="523">
        <f t="shared" si="284"/>
        <v>0</v>
      </c>
      <c r="AG195" s="523">
        <f t="shared" si="285"/>
        <v>0</v>
      </c>
      <c r="AH195" s="523">
        <f t="shared" si="286"/>
        <v>0</v>
      </c>
      <c r="AI195" s="526"/>
      <c r="AJ195" s="527">
        <f>AB195*(IF(ISNA(VLOOKUP($I195,Veg_Parameters!$A$3:$N$65,5,FALSE)),0,(VLOOKUP($I195,Veg_Parameters!$A$3:$N$65,5,FALSE))))</f>
        <v>0</v>
      </c>
      <c r="AK195" s="527">
        <f>IF(ISNA(VLOOKUP($I195,Veg_Parameters!$A$3:$N$65,4,FALSE)),0,(VLOOKUP($I195,Veg_Parameters!$A$3:$N$65,4,FALSE)))</f>
        <v>0</v>
      </c>
      <c r="AL195" s="527">
        <f>AB195*(IF(ISNA(VLOOKUP($I195,Veg_Parameters!$A$3:$N$65,7,FALSE)),0, (VLOOKUP($I195,Veg_Parameters!$A$3:$N$65,7,FALSE))))</f>
        <v>0</v>
      </c>
      <c r="AM195" s="528">
        <f>IF(ISNA(VLOOKUP($I195,Veg_Parameters!$A$3:$N$65,6,FALSE)), 0, (VLOOKUP($I195,Veg_Parameters!$A$3:$N$65,6,FALSE)))</f>
        <v>0</v>
      </c>
      <c r="AN195" s="529">
        <f t="shared" si="287"/>
        <v>20</v>
      </c>
      <c r="AO195" s="529">
        <f t="shared" si="288"/>
        <v>0</v>
      </c>
      <c r="AP195" s="529">
        <f t="shared" si="289"/>
        <v>0</v>
      </c>
      <c r="AQ195" s="530">
        <f t="shared" si="305"/>
        <v>0</v>
      </c>
      <c r="AR195" s="527" t="s">
        <v>3</v>
      </c>
      <c r="AS195" s="527">
        <f>IF(ISNA(VLOOKUP($I195,Veg_Parameters!$A$3:$N$65,8,FALSE)), 0, (VLOOKUP($I195,Veg_Parameters!$A$3:$N$65,8,FALSE)))</f>
        <v>0</v>
      </c>
      <c r="AT195" s="527">
        <f>AB195*(IF(ISNA(VLOOKUP($I195,Veg_Parameters!$A$3:$N$65,9,FALSE)), 0, (VLOOKUP($I195,Veg_Parameters!$A$3:$N$65,9,FALSE))))</f>
        <v>0</v>
      </c>
      <c r="AU195" s="527">
        <f>IF(ISBLANK(A195),0,VLOOKUP($I195,Veg_Parameters!$A$4:$U$65,21,))</f>
        <v>0</v>
      </c>
      <c r="AV195" s="527">
        <f t="shared" si="306"/>
        <v>0</v>
      </c>
      <c r="AW195" s="529">
        <f t="shared" si="307"/>
        <v>0</v>
      </c>
      <c r="AX195" s="529">
        <f t="shared" si="308"/>
        <v>0</v>
      </c>
      <c r="AY195" s="529">
        <f t="shared" si="290"/>
        <v>0</v>
      </c>
      <c r="AZ195" s="529">
        <f t="shared" si="309"/>
        <v>0</v>
      </c>
      <c r="BA195" s="529">
        <f t="shared" si="310"/>
        <v>0</v>
      </c>
      <c r="BB195" s="529">
        <f t="shared" si="311"/>
        <v>0</v>
      </c>
      <c r="BC195" s="529">
        <f t="shared" si="291"/>
        <v>0</v>
      </c>
      <c r="BD195" s="531"/>
      <c r="BE195" s="527">
        <f>AH195*(IF(ISNA(VLOOKUP($N195,Veg_Parameters!$A$3:$N$65,5,FALSE)),0,(VLOOKUP($N195,Veg_Parameters!$A$3:$N$65,5,FALSE))))</f>
        <v>0</v>
      </c>
      <c r="BF195" s="527">
        <f>IF(ISNA(VLOOKUP($N195,Veg_Parameters!$A$3:$N$65,4,FALSE)),0,(VLOOKUP($N195,Veg_Parameters!$A$3:$N$65,4,FALSE)))</f>
        <v>0</v>
      </c>
      <c r="BG195" s="527">
        <f>AH195*(IF(ISNA(VLOOKUP($N195,Veg_Parameters!$A$3:$N$65,7,FALSE)),0, (VLOOKUP($N195,Veg_Parameters!$A$3:$N$65,7,FALSE))))</f>
        <v>0</v>
      </c>
      <c r="BH195" s="527">
        <f>IF(ISNA(VLOOKUP($N195,Veg_Parameters!$A$3:$N$65,6,FALSE)), 0, (VLOOKUP($N195,Veg_Parameters!$A$3:$N$65,6,FALSE)))</f>
        <v>0</v>
      </c>
      <c r="BI195" s="529">
        <f t="shared" si="292"/>
        <v>20</v>
      </c>
      <c r="BJ195" s="529">
        <f t="shared" si="312"/>
        <v>0</v>
      </c>
      <c r="BK195" s="529">
        <f t="shared" si="293"/>
        <v>0</v>
      </c>
      <c r="BL195" s="530">
        <f t="shared" si="313"/>
        <v>0</v>
      </c>
      <c r="BM195" s="527" t="s">
        <v>3</v>
      </c>
      <c r="BN195" s="527">
        <f>IF(ISNA(VLOOKUP(N195,Veg_Parameters!$A$3:$N$65,8,FALSE)), 0, (VLOOKUP($N195,Veg_Parameters!$A$3:$N$65,8,FALSE)))</f>
        <v>0</v>
      </c>
      <c r="BO195" s="527">
        <f>AH195*(IF(ISNA(VLOOKUP($N195,Veg_Parameters!$A$3:$N$65,9,FALSE)), 0, (VLOOKUP($N195,Veg_Parameters!$A$3:$N$65,9,FALSE))))</f>
        <v>0</v>
      </c>
      <c r="BP195" s="527" t="str">
        <f>IF(ISBLANK(N195),"0",VLOOKUP($N195,Veg_Parameters!$A$4:$U$65,21,))</f>
        <v>0</v>
      </c>
      <c r="BQ195" s="529">
        <f t="shared" si="314"/>
        <v>0</v>
      </c>
      <c r="BR195" s="529">
        <f t="shared" si="315"/>
        <v>0</v>
      </c>
      <c r="BS195" s="529">
        <f t="shared" si="294"/>
        <v>0</v>
      </c>
      <c r="BT195" s="529">
        <f t="shared" si="316"/>
        <v>0</v>
      </c>
      <c r="BU195" s="529">
        <f t="shared" si="317"/>
        <v>0</v>
      </c>
      <c r="BV195" s="529">
        <f t="shared" si="318"/>
        <v>0</v>
      </c>
      <c r="BW195" s="532" t="str">
        <f t="shared" si="295"/>
        <v/>
      </c>
      <c r="BX195" s="532" t="str">
        <f t="shared" si="296"/>
        <v/>
      </c>
      <c r="BY195" s="532" t="str">
        <f t="shared" si="297"/>
        <v/>
      </c>
      <c r="BZ195" s="532" t="str">
        <f t="shared" si="298"/>
        <v/>
      </c>
      <c r="CA195" s="532">
        <f t="shared" si="299"/>
        <v>0</v>
      </c>
      <c r="CB195" s="533"/>
      <c r="CC195" s="624">
        <f t="shared" si="300"/>
        <v>0</v>
      </c>
      <c r="CD195" s="534">
        <f t="shared" si="301"/>
        <v>0</v>
      </c>
      <c r="CE195" s="534">
        <f t="shared" si="302"/>
        <v>0</v>
      </c>
      <c r="CF195" s="534">
        <f t="shared" si="303"/>
        <v>0</v>
      </c>
      <c r="CG195" s="534"/>
      <c r="CH195" s="534"/>
      <c r="CI195" s="534">
        <f t="shared" si="319"/>
        <v>0</v>
      </c>
      <c r="CL195" s="534">
        <f>IF(ISNA(VLOOKUP(I195,Veg_Parameters!$A$3:$N$65,13,FALSE)),0,(VLOOKUP(I195,Veg_Parameters!$A$3:$N$65,13,FALSE)))</f>
        <v>0</v>
      </c>
      <c r="CM195" s="534">
        <f t="shared" si="320"/>
        <v>0</v>
      </c>
      <c r="CN195" s="534">
        <f>IF(ISNA(VLOOKUP(N195,Veg_Parameters!$A$3:$N$65,13,FALSE)),0,(VLOOKUP(N195,Veg_Parameters!$A$3:$N$65,13,FALSE)))</f>
        <v>0</v>
      </c>
      <c r="CO195" s="523">
        <f t="shared" si="321"/>
        <v>0</v>
      </c>
    </row>
    <row r="196" spans="1:93" x14ac:dyDescent="0.2">
      <c r="A196" s="230"/>
      <c r="B196" s="171" t="str">
        <f t="shared" si="322"/>
        <v/>
      </c>
      <c r="C196" s="230"/>
      <c r="D196" s="169"/>
      <c r="E196" s="165"/>
      <c r="F196" s="165"/>
      <c r="G196" s="165"/>
      <c r="H196" s="165"/>
      <c r="I196" s="168"/>
      <c r="J196" s="167"/>
      <c r="K196" s="168"/>
      <c r="L196" s="167"/>
      <c r="M196" s="167"/>
      <c r="N196" s="168"/>
      <c r="O196" s="168"/>
      <c r="P196" s="167"/>
      <c r="Q196" s="167"/>
      <c r="R196" s="167"/>
      <c r="S196" s="222" t="str">
        <f>IF(ISBLANK(A196),"",IF(ISNA(VLOOKUP(I196,Veg_Parameters!$A$3:$N$65,3,FALSE)),0,(VLOOKUP(I196,Veg_Parameters!$A$3:$N$65,3,FALSE))))</f>
        <v/>
      </c>
      <c r="T196" s="222" t="str">
        <f>IF(ISBLANK(N196),"",IF(ISNA(VLOOKUP(N196,Veg_Parameters!$A$3:$N$65,3,FALSE)),0,(VLOOKUP(N196,Veg_Parameters!$A$3:$N$65,3,FALSE))))</f>
        <v/>
      </c>
      <c r="U196" s="523">
        <f t="shared" si="304"/>
        <v>0</v>
      </c>
      <c r="V196" s="523">
        <f t="shared" si="280"/>
        <v>0</v>
      </c>
      <c r="W196" s="524">
        <f>IF(ISBLANK(A196),0,IF(ISNA(VLOOKUP($I196,Veg_Parameters!$A$3:$N$65,10,FALSE)),0,(VLOOKUP($I196,Veg_Parameters!$A$3:$N$65,10,FALSE))))</f>
        <v>0</v>
      </c>
      <c r="X196" s="524">
        <f>IF(ISBLANK(A196),0,IF(ISNA(VLOOKUP($I196,Veg_Parameters!$A$3:$N$65,11,FALSE)),0,(VLOOKUP($I196,Veg_Parameters!$A$3:$N$65,11,FALSE))))</f>
        <v>0</v>
      </c>
      <c r="Y196" s="524">
        <f>IF(ISBLANK(A196),0,IF(ISNA(VLOOKUP($I196,Veg_Parameters!$A$3:$N$65,12,FALSE)),0,(VLOOKUP($I196,Veg_Parameters!$A$3:$N$65,12,FALSE))))</f>
        <v>0</v>
      </c>
      <c r="Z196" s="525">
        <f t="shared" si="281"/>
        <v>0</v>
      </c>
      <c r="AA196" s="525">
        <f t="shared" si="282"/>
        <v>0</v>
      </c>
      <c r="AB196" s="525">
        <f t="shared" si="283"/>
        <v>0</v>
      </c>
      <c r="AC196" s="524">
        <f>IF(ISBLANK(N196),0,IF(ISNA(VLOOKUP($N196,Veg_Parameters!$A$3:$N$65,10,FALSE)),0,(VLOOKUP($N196,Veg_Parameters!$A$3:$N$65,10,FALSE))))</f>
        <v>0</v>
      </c>
      <c r="AD196" s="524">
        <f>IF(ISBLANK(N196),0,IF(ISNA(VLOOKUP($N196,Veg_Parameters!$A$3:$N$65,11,FALSE)),0,(VLOOKUP($N196,Veg_Parameters!$A$3:$N$65,11,FALSE))))</f>
        <v>0</v>
      </c>
      <c r="AE196" s="524">
        <f>IF(ISBLANK(N196), 0, IF(ISNA(VLOOKUP($N196,Veg_Parameters!$A$3:$N$65,12,FALSE)),0,(VLOOKUP($N196,Veg_Parameters!$A$3:$N$65,12,FALSE))))</f>
        <v>0</v>
      </c>
      <c r="AF196" s="523">
        <f t="shared" si="284"/>
        <v>0</v>
      </c>
      <c r="AG196" s="523">
        <f t="shared" si="285"/>
        <v>0</v>
      </c>
      <c r="AH196" s="523">
        <f t="shared" si="286"/>
        <v>0</v>
      </c>
      <c r="AI196" s="526"/>
      <c r="AJ196" s="527">
        <f>AB196*(IF(ISNA(VLOOKUP($I196,Veg_Parameters!$A$3:$N$65,5,FALSE)),0,(VLOOKUP($I196,Veg_Parameters!$A$3:$N$65,5,FALSE))))</f>
        <v>0</v>
      </c>
      <c r="AK196" s="527">
        <f>IF(ISNA(VLOOKUP($I196,Veg_Parameters!$A$3:$N$65,4,FALSE)),0,(VLOOKUP($I196,Veg_Parameters!$A$3:$N$65,4,FALSE)))</f>
        <v>0</v>
      </c>
      <c r="AL196" s="527">
        <f>AB196*(IF(ISNA(VLOOKUP($I196,Veg_Parameters!$A$3:$N$65,7,FALSE)),0, (VLOOKUP($I196,Veg_Parameters!$A$3:$N$65,7,FALSE))))</f>
        <v>0</v>
      </c>
      <c r="AM196" s="528">
        <f>IF(ISNA(VLOOKUP($I196,Veg_Parameters!$A$3:$N$65,6,FALSE)), 0, (VLOOKUP($I196,Veg_Parameters!$A$3:$N$65,6,FALSE)))</f>
        <v>0</v>
      </c>
      <c r="AN196" s="529">
        <f t="shared" si="287"/>
        <v>20</v>
      </c>
      <c r="AO196" s="529">
        <f t="shared" si="288"/>
        <v>0</v>
      </c>
      <c r="AP196" s="529">
        <f t="shared" si="289"/>
        <v>0</v>
      </c>
      <c r="AQ196" s="530">
        <f t="shared" si="305"/>
        <v>0</v>
      </c>
      <c r="AR196" s="527" t="s">
        <v>3</v>
      </c>
      <c r="AS196" s="527">
        <f>IF(ISNA(VLOOKUP($I196,Veg_Parameters!$A$3:$N$65,8,FALSE)), 0, (VLOOKUP($I196,Veg_Parameters!$A$3:$N$65,8,FALSE)))</f>
        <v>0</v>
      </c>
      <c r="AT196" s="527">
        <f>AB196*(IF(ISNA(VLOOKUP($I196,Veg_Parameters!$A$3:$N$65,9,FALSE)), 0, (VLOOKUP($I196,Veg_Parameters!$A$3:$N$65,9,FALSE))))</f>
        <v>0</v>
      </c>
      <c r="AU196" s="527">
        <f>IF(ISBLANK(A196),0,VLOOKUP($I196,Veg_Parameters!$A$4:$U$65,21,))</f>
        <v>0</v>
      </c>
      <c r="AV196" s="527">
        <f t="shared" si="306"/>
        <v>0</v>
      </c>
      <c r="AW196" s="529">
        <f t="shared" si="307"/>
        <v>0</v>
      </c>
      <c r="AX196" s="529">
        <f t="shared" si="308"/>
        <v>0</v>
      </c>
      <c r="AY196" s="529">
        <f t="shared" si="290"/>
        <v>0</v>
      </c>
      <c r="AZ196" s="529">
        <f t="shared" si="309"/>
        <v>0</v>
      </c>
      <c r="BA196" s="529">
        <f t="shared" si="310"/>
        <v>0</v>
      </c>
      <c r="BB196" s="529">
        <f t="shared" si="311"/>
        <v>0</v>
      </c>
      <c r="BC196" s="529">
        <f t="shared" si="291"/>
        <v>0</v>
      </c>
      <c r="BD196" s="531"/>
      <c r="BE196" s="527">
        <f>AH196*(IF(ISNA(VLOOKUP($N196,Veg_Parameters!$A$3:$N$65,5,FALSE)),0,(VLOOKUP($N196,Veg_Parameters!$A$3:$N$65,5,FALSE))))</f>
        <v>0</v>
      </c>
      <c r="BF196" s="527">
        <f>IF(ISNA(VLOOKUP($N196,Veg_Parameters!$A$3:$N$65,4,FALSE)),0,(VLOOKUP($N196,Veg_Parameters!$A$3:$N$65,4,FALSE)))</f>
        <v>0</v>
      </c>
      <c r="BG196" s="527">
        <f>AH196*(IF(ISNA(VLOOKUP($N196,Veg_Parameters!$A$3:$N$65,7,FALSE)),0, (VLOOKUP($N196,Veg_Parameters!$A$3:$N$65,7,FALSE))))</f>
        <v>0</v>
      </c>
      <c r="BH196" s="527">
        <f>IF(ISNA(VLOOKUP($N196,Veg_Parameters!$A$3:$N$65,6,FALSE)), 0, (VLOOKUP($N196,Veg_Parameters!$A$3:$N$65,6,FALSE)))</f>
        <v>0</v>
      </c>
      <c r="BI196" s="529">
        <f t="shared" si="292"/>
        <v>20</v>
      </c>
      <c r="BJ196" s="529">
        <f t="shared" si="312"/>
        <v>0</v>
      </c>
      <c r="BK196" s="529">
        <f t="shared" si="293"/>
        <v>0</v>
      </c>
      <c r="BL196" s="530">
        <f t="shared" si="313"/>
        <v>0</v>
      </c>
      <c r="BM196" s="527" t="s">
        <v>3</v>
      </c>
      <c r="BN196" s="527">
        <f>IF(ISNA(VLOOKUP(N196,Veg_Parameters!$A$3:$N$65,8,FALSE)), 0, (VLOOKUP($N196,Veg_Parameters!$A$3:$N$65,8,FALSE)))</f>
        <v>0</v>
      </c>
      <c r="BO196" s="527">
        <f>AH196*(IF(ISNA(VLOOKUP($N196,Veg_Parameters!$A$3:$N$65,9,FALSE)), 0, (VLOOKUP($N196,Veg_Parameters!$A$3:$N$65,9,FALSE))))</f>
        <v>0</v>
      </c>
      <c r="BP196" s="527" t="str">
        <f>IF(ISBLANK(N196),"0",VLOOKUP($N196,Veg_Parameters!$A$4:$U$65,21,))</f>
        <v>0</v>
      </c>
      <c r="BQ196" s="529">
        <f t="shared" si="314"/>
        <v>0</v>
      </c>
      <c r="BR196" s="529">
        <f t="shared" si="315"/>
        <v>0</v>
      </c>
      <c r="BS196" s="529">
        <f t="shared" si="294"/>
        <v>0</v>
      </c>
      <c r="BT196" s="529">
        <f t="shared" si="316"/>
        <v>0</v>
      </c>
      <c r="BU196" s="529">
        <f t="shared" si="317"/>
        <v>0</v>
      </c>
      <c r="BV196" s="529">
        <f t="shared" si="318"/>
        <v>0</v>
      </c>
      <c r="BW196" s="532" t="str">
        <f t="shared" si="295"/>
        <v/>
      </c>
      <c r="BX196" s="532" t="str">
        <f t="shared" si="296"/>
        <v/>
      </c>
      <c r="BY196" s="532" t="str">
        <f t="shared" si="297"/>
        <v/>
      </c>
      <c r="BZ196" s="532" t="str">
        <f t="shared" si="298"/>
        <v/>
      </c>
      <c r="CA196" s="532">
        <f t="shared" si="299"/>
        <v>0</v>
      </c>
      <c r="CB196" s="533"/>
      <c r="CC196" s="624">
        <f t="shared" si="300"/>
        <v>0</v>
      </c>
      <c r="CD196" s="534">
        <f t="shared" si="301"/>
        <v>0</v>
      </c>
      <c r="CE196" s="534">
        <f t="shared" si="302"/>
        <v>0</v>
      </c>
      <c r="CF196" s="534">
        <f t="shared" si="303"/>
        <v>0</v>
      </c>
      <c r="CG196" s="534"/>
      <c r="CH196" s="534"/>
      <c r="CI196" s="534">
        <f t="shared" si="319"/>
        <v>0</v>
      </c>
      <c r="CL196" s="534">
        <f>IF(ISNA(VLOOKUP(I196,Veg_Parameters!$A$3:$N$65,13,FALSE)),0,(VLOOKUP(I196,Veg_Parameters!$A$3:$N$65,13,FALSE)))</f>
        <v>0</v>
      </c>
      <c r="CM196" s="534">
        <f t="shared" si="320"/>
        <v>0</v>
      </c>
      <c r="CN196" s="534">
        <f>IF(ISNA(VLOOKUP(N196,Veg_Parameters!$A$3:$N$65,13,FALSE)),0,(VLOOKUP(N196,Veg_Parameters!$A$3:$N$65,13,FALSE)))</f>
        <v>0</v>
      </c>
      <c r="CO196" s="523">
        <f t="shared" si="321"/>
        <v>0</v>
      </c>
    </row>
    <row r="197" spans="1:93" x14ac:dyDescent="0.2">
      <c r="A197" s="230"/>
      <c r="B197" s="171" t="str">
        <f t="shared" si="322"/>
        <v/>
      </c>
      <c r="C197" s="230"/>
      <c r="D197" s="169"/>
      <c r="E197" s="165"/>
      <c r="F197" s="165"/>
      <c r="G197" s="165"/>
      <c r="H197" s="165"/>
      <c r="I197" s="168"/>
      <c r="J197" s="167"/>
      <c r="K197" s="168"/>
      <c r="L197" s="167"/>
      <c r="M197" s="167"/>
      <c r="N197" s="168"/>
      <c r="O197" s="168"/>
      <c r="P197" s="167"/>
      <c r="Q197" s="167"/>
      <c r="R197" s="167"/>
      <c r="S197" s="222" t="str">
        <f>IF(ISBLANK(A197),"",IF(ISNA(VLOOKUP(I197,Veg_Parameters!$A$3:$N$65,3,FALSE)),0,(VLOOKUP(I197,Veg_Parameters!$A$3:$N$65,3,FALSE))))</f>
        <v/>
      </c>
      <c r="T197" s="222" t="str">
        <f>IF(ISBLANK(N197),"",IF(ISNA(VLOOKUP(N197,Veg_Parameters!$A$3:$N$65,3,FALSE)),0,(VLOOKUP(N197,Veg_Parameters!$A$3:$N$65,3,FALSE))))</f>
        <v/>
      </c>
      <c r="U197" s="523">
        <f t="shared" si="304"/>
        <v>0</v>
      </c>
      <c r="V197" s="523">
        <f t="shared" si="280"/>
        <v>0</v>
      </c>
      <c r="W197" s="524">
        <f>IF(ISBLANK(A197),0,IF(ISNA(VLOOKUP($I197,Veg_Parameters!$A$3:$N$65,10,FALSE)),0,(VLOOKUP($I197,Veg_Parameters!$A$3:$N$65,10,FALSE))))</f>
        <v>0</v>
      </c>
      <c r="X197" s="524">
        <f>IF(ISBLANK(A197),0,IF(ISNA(VLOOKUP($I197,Veg_Parameters!$A$3:$N$65,11,FALSE)),0,(VLOOKUP($I197,Veg_Parameters!$A$3:$N$65,11,FALSE))))</f>
        <v>0</v>
      </c>
      <c r="Y197" s="524">
        <f>IF(ISBLANK(A197),0,IF(ISNA(VLOOKUP($I197,Veg_Parameters!$A$3:$N$65,12,FALSE)),0,(VLOOKUP($I197,Veg_Parameters!$A$3:$N$65,12,FALSE))))</f>
        <v>0</v>
      </c>
      <c r="Z197" s="525">
        <f t="shared" si="281"/>
        <v>0</v>
      </c>
      <c r="AA197" s="525">
        <f t="shared" si="282"/>
        <v>0</v>
      </c>
      <c r="AB197" s="525">
        <f t="shared" si="283"/>
        <v>0</v>
      </c>
      <c r="AC197" s="524">
        <f>IF(ISBLANK(N197),0,IF(ISNA(VLOOKUP($N197,Veg_Parameters!$A$3:$N$65,10,FALSE)),0,(VLOOKUP($N197,Veg_Parameters!$A$3:$N$65,10,FALSE))))</f>
        <v>0</v>
      </c>
      <c r="AD197" s="524">
        <f>IF(ISBLANK(N197),0,IF(ISNA(VLOOKUP($N197,Veg_Parameters!$A$3:$N$65,11,FALSE)),0,(VLOOKUP($N197,Veg_Parameters!$A$3:$N$65,11,FALSE))))</f>
        <v>0</v>
      </c>
      <c r="AE197" s="524">
        <f>IF(ISBLANK(N197), 0, IF(ISNA(VLOOKUP($N197,Veg_Parameters!$A$3:$N$65,12,FALSE)),0,(VLOOKUP($N197,Veg_Parameters!$A$3:$N$65,12,FALSE))))</f>
        <v>0</v>
      </c>
      <c r="AF197" s="523">
        <f t="shared" si="284"/>
        <v>0</v>
      </c>
      <c r="AG197" s="523">
        <f t="shared" si="285"/>
        <v>0</v>
      </c>
      <c r="AH197" s="523">
        <f t="shared" si="286"/>
        <v>0</v>
      </c>
      <c r="AI197" s="526"/>
      <c r="AJ197" s="527">
        <f>AB197*(IF(ISNA(VLOOKUP($I197,Veg_Parameters!$A$3:$N$65,5,FALSE)),0,(VLOOKUP($I197,Veg_Parameters!$A$3:$N$65,5,FALSE))))</f>
        <v>0</v>
      </c>
      <c r="AK197" s="527">
        <f>IF(ISNA(VLOOKUP($I197,Veg_Parameters!$A$3:$N$65,4,FALSE)),0,(VLOOKUP($I197,Veg_Parameters!$A$3:$N$65,4,FALSE)))</f>
        <v>0</v>
      </c>
      <c r="AL197" s="527">
        <f>AB197*(IF(ISNA(VLOOKUP($I197,Veg_Parameters!$A$3:$N$65,7,FALSE)),0, (VLOOKUP($I197,Veg_Parameters!$A$3:$N$65,7,FALSE))))</f>
        <v>0</v>
      </c>
      <c r="AM197" s="528">
        <f>IF(ISNA(VLOOKUP($I197,Veg_Parameters!$A$3:$N$65,6,FALSE)), 0, (VLOOKUP($I197,Veg_Parameters!$A$3:$N$65,6,FALSE)))</f>
        <v>0</v>
      </c>
      <c r="AN197" s="529">
        <f t="shared" si="287"/>
        <v>20</v>
      </c>
      <c r="AO197" s="529">
        <f t="shared" si="288"/>
        <v>0</v>
      </c>
      <c r="AP197" s="529">
        <f t="shared" si="289"/>
        <v>0</v>
      </c>
      <c r="AQ197" s="530">
        <f t="shared" si="305"/>
        <v>0</v>
      </c>
      <c r="AR197" s="527" t="s">
        <v>3</v>
      </c>
      <c r="AS197" s="527">
        <f>IF(ISNA(VLOOKUP($I197,Veg_Parameters!$A$3:$N$65,8,FALSE)), 0, (VLOOKUP($I197,Veg_Parameters!$A$3:$N$65,8,FALSE)))</f>
        <v>0</v>
      </c>
      <c r="AT197" s="527">
        <f>AB197*(IF(ISNA(VLOOKUP($I197,Veg_Parameters!$A$3:$N$65,9,FALSE)), 0, (VLOOKUP($I197,Veg_Parameters!$A$3:$N$65,9,FALSE))))</f>
        <v>0</v>
      </c>
      <c r="AU197" s="527">
        <f>IF(ISBLANK(A197),0,VLOOKUP($I197,Veg_Parameters!$A$4:$U$65,21,))</f>
        <v>0</v>
      </c>
      <c r="AV197" s="527">
        <f t="shared" si="306"/>
        <v>0</v>
      </c>
      <c r="AW197" s="529">
        <f t="shared" si="307"/>
        <v>0</v>
      </c>
      <c r="AX197" s="529">
        <f t="shared" si="308"/>
        <v>0</v>
      </c>
      <c r="AY197" s="529">
        <f t="shared" si="290"/>
        <v>0</v>
      </c>
      <c r="AZ197" s="529">
        <f t="shared" si="309"/>
        <v>0</v>
      </c>
      <c r="BA197" s="529">
        <f t="shared" si="310"/>
        <v>0</v>
      </c>
      <c r="BB197" s="529">
        <f t="shared" si="311"/>
        <v>0</v>
      </c>
      <c r="BC197" s="529">
        <f t="shared" si="291"/>
        <v>0</v>
      </c>
      <c r="BD197" s="531"/>
      <c r="BE197" s="527">
        <f>AH197*(IF(ISNA(VLOOKUP($N197,Veg_Parameters!$A$3:$N$65,5,FALSE)),0,(VLOOKUP($N197,Veg_Parameters!$A$3:$N$65,5,FALSE))))</f>
        <v>0</v>
      </c>
      <c r="BF197" s="527">
        <f>IF(ISNA(VLOOKUP($N197,Veg_Parameters!$A$3:$N$65,4,FALSE)),0,(VLOOKUP($N197,Veg_Parameters!$A$3:$N$65,4,FALSE)))</f>
        <v>0</v>
      </c>
      <c r="BG197" s="527">
        <f>AH197*(IF(ISNA(VLOOKUP($N197,Veg_Parameters!$A$3:$N$65,7,FALSE)),0, (VLOOKUP($N197,Veg_Parameters!$A$3:$N$65,7,FALSE))))</f>
        <v>0</v>
      </c>
      <c r="BH197" s="527">
        <f>IF(ISNA(VLOOKUP($N197,Veg_Parameters!$A$3:$N$65,6,FALSE)), 0, (VLOOKUP($N197,Veg_Parameters!$A$3:$N$65,6,FALSE)))</f>
        <v>0</v>
      </c>
      <c r="BI197" s="529">
        <f t="shared" si="292"/>
        <v>20</v>
      </c>
      <c r="BJ197" s="529">
        <f t="shared" si="312"/>
        <v>0</v>
      </c>
      <c r="BK197" s="529">
        <f t="shared" si="293"/>
        <v>0</v>
      </c>
      <c r="BL197" s="530">
        <f t="shared" si="313"/>
        <v>0</v>
      </c>
      <c r="BM197" s="527" t="s">
        <v>3</v>
      </c>
      <c r="BN197" s="527">
        <f>IF(ISNA(VLOOKUP(N197,Veg_Parameters!$A$3:$N$65,8,FALSE)), 0, (VLOOKUP($N197,Veg_Parameters!$A$3:$N$65,8,FALSE)))</f>
        <v>0</v>
      </c>
      <c r="BO197" s="527">
        <f>AH197*(IF(ISNA(VLOOKUP($N197,Veg_Parameters!$A$3:$N$65,9,FALSE)), 0, (VLOOKUP($N197,Veg_Parameters!$A$3:$N$65,9,FALSE))))</f>
        <v>0</v>
      </c>
      <c r="BP197" s="527" t="str">
        <f>IF(ISBLANK(N197),"0",VLOOKUP($N197,Veg_Parameters!$A$4:$U$65,21,))</f>
        <v>0</v>
      </c>
      <c r="BQ197" s="529">
        <f t="shared" si="314"/>
        <v>0</v>
      </c>
      <c r="BR197" s="529">
        <f t="shared" si="315"/>
        <v>0</v>
      </c>
      <c r="BS197" s="529">
        <f t="shared" si="294"/>
        <v>0</v>
      </c>
      <c r="BT197" s="529">
        <f t="shared" si="316"/>
        <v>0</v>
      </c>
      <c r="BU197" s="529">
        <f t="shared" si="317"/>
        <v>0</v>
      </c>
      <c r="BV197" s="529">
        <f t="shared" si="318"/>
        <v>0</v>
      </c>
      <c r="BW197" s="532" t="str">
        <f t="shared" si="295"/>
        <v/>
      </c>
      <c r="BX197" s="532" t="str">
        <f t="shared" si="296"/>
        <v/>
      </c>
      <c r="BY197" s="532" t="str">
        <f t="shared" si="297"/>
        <v/>
      </c>
      <c r="BZ197" s="532" t="str">
        <f t="shared" si="298"/>
        <v/>
      </c>
      <c r="CA197" s="532">
        <f t="shared" si="299"/>
        <v>0</v>
      </c>
      <c r="CB197" s="533"/>
      <c r="CC197" s="624">
        <f t="shared" si="300"/>
        <v>0</v>
      </c>
      <c r="CD197" s="534">
        <f t="shared" si="301"/>
        <v>0</v>
      </c>
      <c r="CE197" s="534">
        <f t="shared" si="302"/>
        <v>0</v>
      </c>
      <c r="CF197" s="534">
        <f t="shared" si="303"/>
        <v>0</v>
      </c>
      <c r="CG197" s="534"/>
      <c r="CH197" s="534"/>
      <c r="CI197" s="534">
        <f t="shared" si="319"/>
        <v>0</v>
      </c>
      <c r="CL197" s="534">
        <f>IF(ISNA(VLOOKUP(I197,Veg_Parameters!$A$3:$N$65,13,FALSE)),0,(VLOOKUP(I197,Veg_Parameters!$A$3:$N$65,13,FALSE)))</f>
        <v>0</v>
      </c>
      <c r="CM197" s="534">
        <f t="shared" si="320"/>
        <v>0</v>
      </c>
      <c r="CN197" s="534">
        <f>IF(ISNA(VLOOKUP(N197,Veg_Parameters!$A$3:$N$65,13,FALSE)),0,(VLOOKUP(N197,Veg_Parameters!$A$3:$N$65,13,FALSE)))</f>
        <v>0</v>
      </c>
      <c r="CO197" s="523">
        <f t="shared" si="321"/>
        <v>0</v>
      </c>
    </row>
    <row r="198" spans="1:93" x14ac:dyDescent="0.2">
      <c r="A198" s="230"/>
      <c r="B198" s="171" t="str">
        <f t="shared" si="322"/>
        <v/>
      </c>
      <c r="C198" s="230"/>
      <c r="D198" s="169"/>
      <c r="E198" s="165"/>
      <c r="F198" s="165"/>
      <c r="G198" s="165"/>
      <c r="H198" s="165"/>
      <c r="I198" s="168"/>
      <c r="J198" s="167"/>
      <c r="K198" s="168"/>
      <c r="L198" s="167"/>
      <c r="M198" s="167"/>
      <c r="N198" s="168"/>
      <c r="O198" s="168"/>
      <c r="P198" s="167"/>
      <c r="Q198" s="167"/>
      <c r="R198" s="167"/>
      <c r="S198" s="222" t="str">
        <f>IF(ISBLANK(A198),"",IF(ISNA(VLOOKUP(I198,Veg_Parameters!$A$3:$N$65,3,FALSE)),0,(VLOOKUP(I198,Veg_Parameters!$A$3:$N$65,3,FALSE))))</f>
        <v/>
      </c>
      <c r="T198" s="222" t="str">
        <f>IF(ISBLANK(N198),"",IF(ISNA(VLOOKUP(N198,Veg_Parameters!$A$3:$N$65,3,FALSE)),0,(VLOOKUP(N198,Veg_Parameters!$A$3:$N$65,3,FALSE))))</f>
        <v/>
      </c>
      <c r="U198" s="523">
        <f t="shared" si="304"/>
        <v>0</v>
      </c>
      <c r="V198" s="523">
        <f t="shared" si="280"/>
        <v>0</v>
      </c>
      <c r="W198" s="524">
        <f>IF(ISBLANK(A198),0,IF(ISNA(VLOOKUP($I198,Veg_Parameters!$A$3:$N$65,10,FALSE)),0,(VLOOKUP($I198,Veg_Parameters!$A$3:$N$65,10,FALSE))))</f>
        <v>0</v>
      </c>
      <c r="X198" s="524">
        <f>IF(ISBLANK(A198),0,IF(ISNA(VLOOKUP($I198,Veg_Parameters!$A$3:$N$65,11,FALSE)),0,(VLOOKUP($I198,Veg_Parameters!$A$3:$N$65,11,FALSE))))</f>
        <v>0</v>
      </c>
      <c r="Y198" s="524">
        <f>IF(ISBLANK(A198),0,IF(ISNA(VLOOKUP($I198,Veg_Parameters!$A$3:$N$65,12,FALSE)),0,(VLOOKUP($I198,Veg_Parameters!$A$3:$N$65,12,FALSE))))</f>
        <v>0</v>
      </c>
      <c r="Z198" s="525">
        <f t="shared" si="281"/>
        <v>0</v>
      </c>
      <c r="AA198" s="525">
        <f t="shared" si="282"/>
        <v>0</v>
      </c>
      <c r="AB198" s="525">
        <f t="shared" si="283"/>
        <v>0</v>
      </c>
      <c r="AC198" s="524">
        <f>IF(ISBLANK(N198),0,IF(ISNA(VLOOKUP($N198,Veg_Parameters!$A$3:$N$65,10,FALSE)),0,(VLOOKUP($N198,Veg_Parameters!$A$3:$N$65,10,FALSE))))</f>
        <v>0</v>
      </c>
      <c r="AD198" s="524">
        <f>IF(ISBLANK(N198),0,IF(ISNA(VLOOKUP($N198,Veg_Parameters!$A$3:$N$65,11,FALSE)),0,(VLOOKUP($N198,Veg_Parameters!$A$3:$N$65,11,FALSE))))</f>
        <v>0</v>
      </c>
      <c r="AE198" s="524">
        <f>IF(ISBLANK(N198), 0, IF(ISNA(VLOOKUP($N198,Veg_Parameters!$A$3:$N$65,12,FALSE)),0,(VLOOKUP($N198,Veg_Parameters!$A$3:$N$65,12,FALSE))))</f>
        <v>0</v>
      </c>
      <c r="AF198" s="523">
        <f t="shared" si="284"/>
        <v>0</v>
      </c>
      <c r="AG198" s="523">
        <f t="shared" si="285"/>
        <v>0</v>
      </c>
      <c r="AH198" s="523">
        <f t="shared" si="286"/>
        <v>0</v>
      </c>
      <c r="AI198" s="526"/>
      <c r="AJ198" s="527">
        <f>AB198*(IF(ISNA(VLOOKUP($I198,Veg_Parameters!$A$3:$N$65,5,FALSE)),0,(VLOOKUP($I198,Veg_Parameters!$A$3:$N$65,5,FALSE))))</f>
        <v>0</v>
      </c>
      <c r="AK198" s="527">
        <f>IF(ISNA(VLOOKUP($I198,Veg_Parameters!$A$3:$N$65,4,FALSE)),0,(VLOOKUP($I198,Veg_Parameters!$A$3:$N$65,4,FALSE)))</f>
        <v>0</v>
      </c>
      <c r="AL198" s="527">
        <f>AB198*(IF(ISNA(VLOOKUP($I198,Veg_Parameters!$A$3:$N$65,7,FALSE)),0, (VLOOKUP($I198,Veg_Parameters!$A$3:$N$65,7,FALSE))))</f>
        <v>0</v>
      </c>
      <c r="AM198" s="528">
        <f>IF(ISNA(VLOOKUP($I198,Veg_Parameters!$A$3:$N$65,6,FALSE)), 0, (VLOOKUP($I198,Veg_Parameters!$A$3:$N$65,6,FALSE)))</f>
        <v>0</v>
      </c>
      <c r="AN198" s="529">
        <f t="shared" si="287"/>
        <v>20</v>
      </c>
      <c r="AO198" s="529">
        <f t="shared" si="288"/>
        <v>0</v>
      </c>
      <c r="AP198" s="529">
        <f t="shared" si="289"/>
        <v>0</v>
      </c>
      <c r="AQ198" s="530">
        <f t="shared" si="305"/>
        <v>0</v>
      </c>
      <c r="AR198" s="527" t="s">
        <v>3</v>
      </c>
      <c r="AS198" s="527">
        <f>IF(ISNA(VLOOKUP($I198,Veg_Parameters!$A$3:$N$65,8,FALSE)), 0, (VLOOKUP($I198,Veg_Parameters!$A$3:$N$65,8,FALSE)))</f>
        <v>0</v>
      </c>
      <c r="AT198" s="527">
        <f>AB198*(IF(ISNA(VLOOKUP($I198,Veg_Parameters!$A$3:$N$65,9,FALSE)), 0, (VLOOKUP($I198,Veg_Parameters!$A$3:$N$65,9,FALSE))))</f>
        <v>0</v>
      </c>
      <c r="AU198" s="527">
        <f>IF(ISBLANK(A198),0,VLOOKUP($I198,Veg_Parameters!$A$4:$U$65,21,))</f>
        <v>0</v>
      </c>
      <c r="AV198" s="527">
        <f t="shared" si="306"/>
        <v>0</v>
      </c>
      <c r="AW198" s="529">
        <f t="shared" si="307"/>
        <v>0</v>
      </c>
      <c r="AX198" s="529">
        <f t="shared" si="308"/>
        <v>0</v>
      </c>
      <c r="AY198" s="529">
        <f t="shared" si="290"/>
        <v>0</v>
      </c>
      <c r="AZ198" s="529">
        <f t="shared" si="309"/>
        <v>0</v>
      </c>
      <c r="BA198" s="529">
        <f t="shared" si="310"/>
        <v>0</v>
      </c>
      <c r="BB198" s="529">
        <f t="shared" si="311"/>
        <v>0</v>
      </c>
      <c r="BC198" s="529">
        <f t="shared" si="291"/>
        <v>0</v>
      </c>
      <c r="BD198" s="531"/>
      <c r="BE198" s="527">
        <f>AH198*(IF(ISNA(VLOOKUP($N198,Veg_Parameters!$A$3:$N$65,5,FALSE)),0,(VLOOKUP($N198,Veg_Parameters!$A$3:$N$65,5,FALSE))))</f>
        <v>0</v>
      </c>
      <c r="BF198" s="527">
        <f>IF(ISNA(VLOOKUP($N198,Veg_Parameters!$A$3:$N$65,4,FALSE)),0,(VLOOKUP($N198,Veg_Parameters!$A$3:$N$65,4,FALSE)))</f>
        <v>0</v>
      </c>
      <c r="BG198" s="527">
        <f>AH198*(IF(ISNA(VLOOKUP($N198,Veg_Parameters!$A$3:$N$65,7,FALSE)),0, (VLOOKUP($N198,Veg_Parameters!$A$3:$N$65,7,FALSE))))</f>
        <v>0</v>
      </c>
      <c r="BH198" s="527">
        <f>IF(ISNA(VLOOKUP($N198,Veg_Parameters!$A$3:$N$65,6,FALSE)), 0, (VLOOKUP($N198,Veg_Parameters!$A$3:$N$65,6,FALSE)))</f>
        <v>0</v>
      </c>
      <c r="BI198" s="529">
        <f t="shared" si="292"/>
        <v>20</v>
      </c>
      <c r="BJ198" s="529">
        <f t="shared" si="312"/>
        <v>0</v>
      </c>
      <c r="BK198" s="529">
        <f t="shared" si="293"/>
        <v>0</v>
      </c>
      <c r="BL198" s="530">
        <f t="shared" si="313"/>
        <v>0</v>
      </c>
      <c r="BM198" s="527" t="s">
        <v>3</v>
      </c>
      <c r="BN198" s="527">
        <f>IF(ISNA(VLOOKUP(N198,Veg_Parameters!$A$3:$N$65,8,FALSE)), 0, (VLOOKUP($N198,Veg_Parameters!$A$3:$N$65,8,FALSE)))</f>
        <v>0</v>
      </c>
      <c r="BO198" s="527">
        <f>AH198*(IF(ISNA(VLOOKUP($N198,Veg_Parameters!$A$3:$N$65,9,FALSE)), 0, (VLOOKUP($N198,Veg_Parameters!$A$3:$N$65,9,FALSE))))</f>
        <v>0</v>
      </c>
      <c r="BP198" s="527" t="str">
        <f>IF(ISBLANK(N198),"0",VLOOKUP($N198,Veg_Parameters!$A$4:$U$65,21,))</f>
        <v>0</v>
      </c>
      <c r="BQ198" s="529">
        <f t="shared" si="314"/>
        <v>0</v>
      </c>
      <c r="BR198" s="529">
        <f t="shared" si="315"/>
        <v>0</v>
      </c>
      <c r="BS198" s="529">
        <f t="shared" si="294"/>
        <v>0</v>
      </c>
      <c r="BT198" s="529">
        <f t="shared" si="316"/>
        <v>0</v>
      </c>
      <c r="BU198" s="529">
        <f t="shared" si="317"/>
        <v>0</v>
      </c>
      <c r="BV198" s="529">
        <f t="shared" si="318"/>
        <v>0</v>
      </c>
      <c r="BW198" s="532" t="str">
        <f t="shared" si="295"/>
        <v/>
      </c>
      <c r="BX198" s="532" t="str">
        <f t="shared" si="296"/>
        <v/>
      </c>
      <c r="BY198" s="532" t="str">
        <f t="shared" si="297"/>
        <v/>
      </c>
      <c r="BZ198" s="532" t="str">
        <f t="shared" si="298"/>
        <v/>
      </c>
      <c r="CA198" s="532">
        <f t="shared" si="299"/>
        <v>0</v>
      </c>
      <c r="CB198" s="533"/>
      <c r="CC198" s="624">
        <f t="shared" si="300"/>
        <v>0</v>
      </c>
      <c r="CD198" s="534">
        <f t="shared" si="301"/>
        <v>0</v>
      </c>
      <c r="CE198" s="534">
        <f t="shared" si="302"/>
        <v>0</v>
      </c>
      <c r="CF198" s="534">
        <f t="shared" si="303"/>
        <v>0</v>
      </c>
      <c r="CG198" s="534"/>
      <c r="CH198" s="534"/>
      <c r="CI198" s="534">
        <f t="shared" si="319"/>
        <v>0</v>
      </c>
      <c r="CL198" s="534">
        <f>IF(ISNA(VLOOKUP(I198,Veg_Parameters!$A$3:$N$65,13,FALSE)),0,(VLOOKUP(I198,Veg_Parameters!$A$3:$N$65,13,FALSE)))</f>
        <v>0</v>
      </c>
      <c r="CM198" s="534">
        <f t="shared" si="320"/>
        <v>0</v>
      </c>
      <c r="CN198" s="534">
        <f>IF(ISNA(VLOOKUP(N198,Veg_Parameters!$A$3:$N$65,13,FALSE)),0,(VLOOKUP(N198,Veg_Parameters!$A$3:$N$65,13,FALSE)))</f>
        <v>0</v>
      </c>
      <c r="CO198" s="523">
        <f t="shared" si="321"/>
        <v>0</v>
      </c>
    </row>
    <row r="199" spans="1:93" x14ac:dyDescent="0.2">
      <c r="A199" s="230"/>
      <c r="B199" s="171" t="str">
        <f t="shared" si="322"/>
        <v/>
      </c>
      <c r="C199" s="230"/>
      <c r="D199" s="169"/>
      <c r="E199" s="165"/>
      <c r="F199" s="165"/>
      <c r="G199" s="165"/>
      <c r="H199" s="165"/>
      <c r="I199" s="168"/>
      <c r="J199" s="167"/>
      <c r="K199" s="168"/>
      <c r="L199" s="167"/>
      <c r="M199" s="167"/>
      <c r="N199" s="168"/>
      <c r="O199" s="168"/>
      <c r="P199" s="167"/>
      <c r="Q199" s="167"/>
      <c r="R199" s="167"/>
      <c r="S199" s="222" t="str">
        <f>IF(ISBLANK(A199),"",IF(ISNA(VLOOKUP(I199,Veg_Parameters!$A$3:$N$65,3,FALSE)),0,(VLOOKUP(I199,Veg_Parameters!$A$3:$N$65,3,FALSE))))</f>
        <v/>
      </c>
      <c r="T199" s="222" t="str">
        <f>IF(ISBLANK(N199),"",IF(ISNA(VLOOKUP(N199,Veg_Parameters!$A$3:$N$65,3,FALSE)),0,(VLOOKUP(N199,Veg_Parameters!$A$3:$N$65,3,FALSE))))</f>
        <v/>
      </c>
      <c r="U199" s="523">
        <f t="shared" si="304"/>
        <v>0</v>
      </c>
      <c r="V199" s="523">
        <f t="shared" si="280"/>
        <v>0</v>
      </c>
      <c r="W199" s="524">
        <f>IF(ISBLANK(A199),0,IF(ISNA(VLOOKUP($I199,Veg_Parameters!$A$3:$N$65,10,FALSE)),0,(VLOOKUP($I199,Veg_Parameters!$A$3:$N$65,10,FALSE))))</f>
        <v>0</v>
      </c>
      <c r="X199" s="524">
        <f>IF(ISBLANK(A199),0,IF(ISNA(VLOOKUP($I199,Veg_Parameters!$A$3:$N$65,11,FALSE)),0,(VLOOKUP($I199,Veg_Parameters!$A$3:$N$65,11,FALSE))))</f>
        <v>0</v>
      </c>
      <c r="Y199" s="524">
        <f>IF(ISBLANK(A199),0,IF(ISNA(VLOOKUP($I199,Veg_Parameters!$A$3:$N$65,12,FALSE)),0,(VLOOKUP($I199,Veg_Parameters!$A$3:$N$65,12,FALSE))))</f>
        <v>0</v>
      </c>
      <c r="Z199" s="525">
        <f t="shared" si="281"/>
        <v>0</v>
      </c>
      <c r="AA199" s="525">
        <f t="shared" si="282"/>
        <v>0</v>
      </c>
      <c r="AB199" s="525">
        <f t="shared" si="283"/>
        <v>0</v>
      </c>
      <c r="AC199" s="524">
        <f>IF(ISBLANK(N199),0,IF(ISNA(VLOOKUP($N199,Veg_Parameters!$A$3:$N$65,10,FALSE)),0,(VLOOKUP($N199,Veg_Parameters!$A$3:$N$65,10,FALSE))))</f>
        <v>0</v>
      </c>
      <c r="AD199" s="524">
        <f>IF(ISBLANK(N199),0,IF(ISNA(VLOOKUP($N199,Veg_Parameters!$A$3:$N$65,11,FALSE)),0,(VLOOKUP($N199,Veg_Parameters!$A$3:$N$65,11,FALSE))))</f>
        <v>0</v>
      </c>
      <c r="AE199" s="524">
        <f>IF(ISBLANK(N199), 0, IF(ISNA(VLOOKUP($N199,Veg_Parameters!$A$3:$N$65,12,FALSE)),0,(VLOOKUP($N199,Veg_Parameters!$A$3:$N$65,12,FALSE))))</f>
        <v>0</v>
      </c>
      <c r="AF199" s="523">
        <f t="shared" si="284"/>
        <v>0</v>
      </c>
      <c r="AG199" s="523">
        <f t="shared" si="285"/>
        <v>0</v>
      </c>
      <c r="AH199" s="523">
        <f t="shared" si="286"/>
        <v>0</v>
      </c>
      <c r="AI199" s="526"/>
      <c r="AJ199" s="527">
        <f>AB199*(IF(ISNA(VLOOKUP($I199,Veg_Parameters!$A$3:$N$65,5,FALSE)),0,(VLOOKUP($I199,Veg_Parameters!$A$3:$N$65,5,FALSE))))</f>
        <v>0</v>
      </c>
      <c r="AK199" s="527">
        <f>IF(ISNA(VLOOKUP($I199,Veg_Parameters!$A$3:$N$65,4,FALSE)),0,(VLOOKUP($I199,Veg_Parameters!$A$3:$N$65,4,FALSE)))</f>
        <v>0</v>
      </c>
      <c r="AL199" s="527">
        <f>AB199*(IF(ISNA(VLOOKUP($I199,Veg_Parameters!$A$3:$N$65,7,FALSE)),0, (VLOOKUP($I199,Veg_Parameters!$A$3:$N$65,7,FALSE))))</f>
        <v>0</v>
      </c>
      <c r="AM199" s="528">
        <f>IF(ISNA(VLOOKUP($I199,Veg_Parameters!$A$3:$N$65,6,FALSE)), 0, (VLOOKUP($I199,Veg_Parameters!$A$3:$N$65,6,FALSE)))</f>
        <v>0</v>
      </c>
      <c r="AN199" s="529">
        <f t="shared" si="287"/>
        <v>20</v>
      </c>
      <c r="AO199" s="529">
        <f t="shared" si="288"/>
        <v>0</v>
      </c>
      <c r="AP199" s="529">
        <f t="shared" si="289"/>
        <v>0</v>
      </c>
      <c r="AQ199" s="530">
        <f t="shared" si="305"/>
        <v>0</v>
      </c>
      <c r="AR199" s="527" t="s">
        <v>3</v>
      </c>
      <c r="AS199" s="527">
        <f>IF(ISNA(VLOOKUP($I199,Veg_Parameters!$A$3:$N$65,8,FALSE)), 0, (VLOOKUP($I199,Veg_Parameters!$A$3:$N$65,8,FALSE)))</f>
        <v>0</v>
      </c>
      <c r="AT199" s="527">
        <f>AB199*(IF(ISNA(VLOOKUP($I199,Veg_Parameters!$A$3:$N$65,9,FALSE)), 0, (VLOOKUP($I199,Veg_Parameters!$A$3:$N$65,9,FALSE))))</f>
        <v>0</v>
      </c>
      <c r="AU199" s="527">
        <f>IF(ISBLANK(A199),0,VLOOKUP($I199,Veg_Parameters!$A$4:$U$65,21,))</f>
        <v>0</v>
      </c>
      <c r="AV199" s="527">
        <f t="shared" si="306"/>
        <v>0</v>
      </c>
      <c r="AW199" s="529">
        <f t="shared" si="307"/>
        <v>0</v>
      </c>
      <c r="AX199" s="529">
        <f t="shared" si="308"/>
        <v>0</v>
      </c>
      <c r="AY199" s="529">
        <f t="shared" si="290"/>
        <v>0</v>
      </c>
      <c r="AZ199" s="529">
        <f t="shared" si="309"/>
        <v>0</v>
      </c>
      <c r="BA199" s="529">
        <f t="shared" si="310"/>
        <v>0</v>
      </c>
      <c r="BB199" s="529">
        <f t="shared" si="311"/>
        <v>0</v>
      </c>
      <c r="BC199" s="529">
        <f t="shared" si="291"/>
        <v>0</v>
      </c>
      <c r="BD199" s="531"/>
      <c r="BE199" s="527">
        <f>AH199*(IF(ISNA(VLOOKUP($N199,Veg_Parameters!$A$3:$N$65,5,FALSE)),0,(VLOOKUP($N199,Veg_Parameters!$A$3:$N$65,5,FALSE))))</f>
        <v>0</v>
      </c>
      <c r="BF199" s="527">
        <f>IF(ISNA(VLOOKUP($N199,Veg_Parameters!$A$3:$N$65,4,FALSE)),0,(VLOOKUP($N199,Veg_Parameters!$A$3:$N$65,4,FALSE)))</f>
        <v>0</v>
      </c>
      <c r="BG199" s="527">
        <f>AH199*(IF(ISNA(VLOOKUP($N199,Veg_Parameters!$A$3:$N$65,7,FALSE)),0, (VLOOKUP($N199,Veg_Parameters!$A$3:$N$65,7,FALSE))))</f>
        <v>0</v>
      </c>
      <c r="BH199" s="527">
        <f>IF(ISNA(VLOOKUP($N199,Veg_Parameters!$A$3:$N$65,6,FALSE)), 0, (VLOOKUP($N199,Veg_Parameters!$A$3:$N$65,6,FALSE)))</f>
        <v>0</v>
      </c>
      <c r="BI199" s="529">
        <f t="shared" si="292"/>
        <v>20</v>
      </c>
      <c r="BJ199" s="529">
        <f t="shared" si="312"/>
        <v>0</v>
      </c>
      <c r="BK199" s="529">
        <f t="shared" si="293"/>
        <v>0</v>
      </c>
      <c r="BL199" s="530">
        <f t="shared" si="313"/>
        <v>0</v>
      </c>
      <c r="BM199" s="527" t="s">
        <v>3</v>
      </c>
      <c r="BN199" s="527">
        <f>IF(ISNA(VLOOKUP(N199,Veg_Parameters!$A$3:$N$65,8,FALSE)), 0, (VLOOKUP($N199,Veg_Parameters!$A$3:$N$65,8,FALSE)))</f>
        <v>0</v>
      </c>
      <c r="BO199" s="527">
        <f>AH199*(IF(ISNA(VLOOKUP($N199,Veg_Parameters!$A$3:$N$65,9,FALSE)), 0, (VLOOKUP($N199,Veg_Parameters!$A$3:$N$65,9,FALSE))))</f>
        <v>0</v>
      </c>
      <c r="BP199" s="527" t="str">
        <f>IF(ISBLANK(N199),"0",VLOOKUP($N199,Veg_Parameters!$A$4:$U$65,21,))</f>
        <v>0</v>
      </c>
      <c r="BQ199" s="529">
        <f t="shared" si="314"/>
        <v>0</v>
      </c>
      <c r="BR199" s="529">
        <f t="shared" si="315"/>
        <v>0</v>
      </c>
      <c r="BS199" s="529">
        <f t="shared" si="294"/>
        <v>0</v>
      </c>
      <c r="BT199" s="529">
        <f t="shared" si="316"/>
        <v>0</v>
      </c>
      <c r="BU199" s="529">
        <f t="shared" si="317"/>
        <v>0</v>
      </c>
      <c r="BV199" s="529">
        <f t="shared" si="318"/>
        <v>0</v>
      </c>
      <c r="BW199" s="532" t="str">
        <f t="shared" si="295"/>
        <v/>
      </c>
      <c r="BX199" s="532" t="str">
        <f t="shared" si="296"/>
        <v/>
      </c>
      <c r="BY199" s="532" t="str">
        <f t="shared" si="297"/>
        <v/>
      </c>
      <c r="BZ199" s="532" t="str">
        <f t="shared" si="298"/>
        <v/>
      </c>
      <c r="CA199" s="532">
        <f t="shared" si="299"/>
        <v>0</v>
      </c>
      <c r="CB199" s="533"/>
      <c r="CC199" s="624">
        <f t="shared" si="300"/>
        <v>0</v>
      </c>
      <c r="CD199" s="534">
        <f t="shared" si="301"/>
        <v>0</v>
      </c>
      <c r="CE199" s="534">
        <f t="shared" si="302"/>
        <v>0</v>
      </c>
      <c r="CF199" s="534">
        <f t="shared" si="303"/>
        <v>0</v>
      </c>
      <c r="CG199" s="534"/>
      <c r="CH199" s="534"/>
      <c r="CI199" s="534">
        <f t="shared" si="319"/>
        <v>0</v>
      </c>
      <c r="CL199" s="534">
        <f>IF(ISNA(VLOOKUP(I199,Veg_Parameters!$A$3:$N$65,13,FALSE)),0,(VLOOKUP(I199,Veg_Parameters!$A$3:$N$65,13,FALSE)))</f>
        <v>0</v>
      </c>
      <c r="CM199" s="534">
        <f t="shared" si="320"/>
        <v>0</v>
      </c>
      <c r="CN199" s="534">
        <f>IF(ISNA(VLOOKUP(N199,Veg_Parameters!$A$3:$N$65,13,FALSE)),0,(VLOOKUP(N199,Veg_Parameters!$A$3:$N$65,13,FALSE)))</f>
        <v>0</v>
      </c>
      <c r="CO199" s="523">
        <f t="shared" si="321"/>
        <v>0</v>
      </c>
    </row>
    <row r="200" spans="1:93" x14ac:dyDescent="0.2">
      <c r="A200" s="227"/>
      <c r="B200" s="171" t="str">
        <f t="shared" si="322"/>
        <v/>
      </c>
      <c r="C200" s="230"/>
      <c r="D200" s="169"/>
      <c r="E200" s="165"/>
      <c r="F200" s="165"/>
      <c r="G200" s="165"/>
      <c r="H200" s="165"/>
      <c r="I200" s="168"/>
      <c r="J200" s="167"/>
      <c r="K200" s="168"/>
      <c r="L200" s="167"/>
      <c r="M200" s="167"/>
      <c r="N200" s="168"/>
      <c r="O200" s="168"/>
      <c r="P200" s="167"/>
      <c r="Q200" s="167"/>
      <c r="R200" s="167"/>
      <c r="S200" s="222" t="str">
        <f>IF(ISBLANK(A200),"",IF(ISNA(VLOOKUP(I200,Veg_Parameters!$A$3:$N$65,3,FALSE)),0,(VLOOKUP(I200,Veg_Parameters!$A$3:$N$65,3,FALSE))))</f>
        <v/>
      </c>
      <c r="T200" s="222" t="str">
        <f>IF(ISBLANK(N200),"",IF(ISNA(VLOOKUP(N200,Veg_Parameters!$A$3:$N$65,3,FALSE)),0,(VLOOKUP(N200,Veg_Parameters!$A$3:$N$65,3,FALSE))))</f>
        <v/>
      </c>
      <c r="U200" s="523">
        <f t="shared" si="304"/>
        <v>0</v>
      </c>
      <c r="V200" s="523">
        <f t="shared" si="280"/>
        <v>0</v>
      </c>
      <c r="W200" s="524">
        <f>IF(ISBLANK(A200),0,IF(ISNA(VLOOKUP($I200,Veg_Parameters!$A$3:$N$65,10,FALSE)),0,(VLOOKUP($I200,Veg_Parameters!$A$3:$N$65,10,FALSE))))</f>
        <v>0</v>
      </c>
      <c r="X200" s="524">
        <f>IF(ISBLANK(A200),0,IF(ISNA(VLOOKUP($I200,Veg_Parameters!$A$3:$N$65,11,FALSE)),0,(VLOOKUP($I200,Veg_Parameters!$A$3:$N$65,11,FALSE))))</f>
        <v>0</v>
      </c>
      <c r="Y200" s="524">
        <f>IF(ISBLANK(A200),0,IF(ISNA(VLOOKUP($I200,Veg_Parameters!$A$3:$N$65,12,FALSE)),0,(VLOOKUP($I200,Veg_Parameters!$A$3:$N$65,12,FALSE))))</f>
        <v>0</v>
      </c>
      <c r="Z200" s="525">
        <f t="shared" si="281"/>
        <v>0</v>
      </c>
      <c r="AA200" s="525">
        <f t="shared" si="282"/>
        <v>0</v>
      </c>
      <c r="AB200" s="525">
        <f t="shared" si="283"/>
        <v>0</v>
      </c>
      <c r="AC200" s="524">
        <f>IF(ISBLANK(N200),0,IF(ISNA(VLOOKUP($N200,Veg_Parameters!$A$3:$N$65,10,FALSE)),0,(VLOOKUP($N200,Veg_Parameters!$A$3:$N$65,10,FALSE))))</f>
        <v>0</v>
      </c>
      <c r="AD200" s="524">
        <f>IF(ISBLANK(N200),0,IF(ISNA(VLOOKUP($N200,Veg_Parameters!$A$3:$N$65,11,FALSE)),0,(VLOOKUP($N200,Veg_Parameters!$A$3:$N$65,11,FALSE))))</f>
        <v>0</v>
      </c>
      <c r="AE200" s="524">
        <f>IF(ISBLANK(N200), 0, IF(ISNA(VLOOKUP($N200,Veg_Parameters!$A$3:$N$65,12,FALSE)),0,(VLOOKUP($N200,Veg_Parameters!$A$3:$N$65,12,FALSE))))</f>
        <v>0</v>
      </c>
      <c r="AF200" s="523">
        <f t="shared" si="284"/>
        <v>0</v>
      </c>
      <c r="AG200" s="523">
        <f t="shared" si="285"/>
        <v>0</v>
      </c>
      <c r="AH200" s="523">
        <f t="shared" si="286"/>
        <v>0</v>
      </c>
      <c r="AI200" s="526"/>
      <c r="AJ200" s="527">
        <f>AB200*(IF(ISNA(VLOOKUP($I200,Veg_Parameters!$A$3:$N$65,5,FALSE)),0,(VLOOKUP($I200,Veg_Parameters!$A$3:$N$65,5,FALSE))))</f>
        <v>0</v>
      </c>
      <c r="AK200" s="527">
        <f>IF(ISNA(VLOOKUP($I200,Veg_Parameters!$A$3:$N$65,4,FALSE)),0,(VLOOKUP($I200,Veg_Parameters!$A$3:$N$65,4,FALSE)))</f>
        <v>0</v>
      </c>
      <c r="AL200" s="527">
        <f>AB200*(IF(ISNA(VLOOKUP($I200,Veg_Parameters!$A$3:$N$65,7,FALSE)),0, (VLOOKUP($I200,Veg_Parameters!$A$3:$N$65,7,FALSE))))</f>
        <v>0</v>
      </c>
      <c r="AM200" s="528">
        <f>IF(ISNA(VLOOKUP($I200,Veg_Parameters!$A$3:$N$65,6,FALSE)), 0, (VLOOKUP($I200,Veg_Parameters!$A$3:$N$65,6,FALSE)))</f>
        <v>0</v>
      </c>
      <c r="AN200" s="529">
        <f t="shared" si="287"/>
        <v>20</v>
      </c>
      <c r="AO200" s="529">
        <f t="shared" si="288"/>
        <v>0</v>
      </c>
      <c r="AP200" s="529">
        <f t="shared" si="289"/>
        <v>0</v>
      </c>
      <c r="AQ200" s="530">
        <f t="shared" si="305"/>
        <v>0</v>
      </c>
      <c r="AR200" s="527" t="s">
        <v>3</v>
      </c>
      <c r="AS200" s="527">
        <f>IF(ISNA(VLOOKUP($I200,Veg_Parameters!$A$3:$N$65,8,FALSE)), 0, (VLOOKUP($I200,Veg_Parameters!$A$3:$N$65,8,FALSE)))</f>
        <v>0</v>
      </c>
      <c r="AT200" s="527">
        <f>AB200*(IF(ISNA(VLOOKUP($I200,Veg_Parameters!$A$3:$N$65,9,FALSE)), 0, (VLOOKUP($I200,Veg_Parameters!$A$3:$N$65,9,FALSE))))</f>
        <v>0</v>
      </c>
      <c r="AU200" s="527">
        <f>IF(ISBLANK(A200),0,VLOOKUP($I200,Veg_Parameters!$A$4:$U$65,21,))</f>
        <v>0</v>
      </c>
      <c r="AV200" s="527">
        <f t="shared" si="306"/>
        <v>0</v>
      </c>
      <c r="AW200" s="529">
        <f t="shared" si="307"/>
        <v>0</v>
      </c>
      <c r="AX200" s="529">
        <f t="shared" si="308"/>
        <v>0</v>
      </c>
      <c r="AY200" s="529">
        <f t="shared" si="290"/>
        <v>0</v>
      </c>
      <c r="AZ200" s="529">
        <f t="shared" si="309"/>
        <v>0</v>
      </c>
      <c r="BA200" s="529">
        <f t="shared" si="310"/>
        <v>0</v>
      </c>
      <c r="BB200" s="529">
        <f t="shared" si="311"/>
        <v>0</v>
      </c>
      <c r="BC200" s="529">
        <f t="shared" si="291"/>
        <v>0</v>
      </c>
      <c r="BD200" s="531"/>
      <c r="BE200" s="527">
        <f>AH200*(IF(ISNA(VLOOKUP($N200,Veg_Parameters!$A$3:$N$65,5,FALSE)),0,(VLOOKUP($N200,Veg_Parameters!$A$3:$N$65,5,FALSE))))</f>
        <v>0</v>
      </c>
      <c r="BF200" s="527">
        <f>IF(ISNA(VLOOKUP($N200,Veg_Parameters!$A$3:$N$65,4,FALSE)),0,(VLOOKUP($N200,Veg_Parameters!$A$3:$N$65,4,FALSE)))</f>
        <v>0</v>
      </c>
      <c r="BG200" s="527">
        <f>AH200*(IF(ISNA(VLOOKUP($N200,Veg_Parameters!$A$3:$N$65,7,FALSE)),0, (VLOOKUP($N200,Veg_Parameters!$A$3:$N$65,7,FALSE))))</f>
        <v>0</v>
      </c>
      <c r="BH200" s="527">
        <f>IF(ISNA(VLOOKUP($N200,Veg_Parameters!$A$3:$N$65,6,FALSE)), 0, (VLOOKUP($N200,Veg_Parameters!$A$3:$N$65,6,FALSE)))</f>
        <v>0</v>
      </c>
      <c r="BI200" s="529">
        <f t="shared" si="292"/>
        <v>20</v>
      </c>
      <c r="BJ200" s="529">
        <f t="shared" si="312"/>
        <v>0</v>
      </c>
      <c r="BK200" s="529">
        <f t="shared" si="293"/>
        <v>0</v>
      </c>
      <c r="BL200" s="530">
        <f t="shared" si="313"/>
        <v>0</v>
      </c>
      <c r="BM200" s="527" t="s">
        <v>3</v>
      </c>
      <c r="BN200" s="527">
        <f>IF(ISNA(VLOOKUP(N200,Veg_Parameters!$A$3:$N$65,8,FALSE)), 0, (VLOOKUP($N200,Veg_Parameters!$A$3:$N$65,8,FALSE)))</f>
        <v>0</v>
      </c>
      <c r="BO200" s="527">
        <f>AH200*(IF(ISNA(VLOOKUP($N200,Veg_Parameters!$A$3:$N$65,9,FALSE)), 0, (VLOOKUP($N200,Veg_Parameters!$A$3:$N$65,9,FALSE))))</f>
        <v>0</v>
      </c>
      <c r="BP200" s="527" t="str">
        <f>IF(ISBLANK(N200),"0",VLOOKUP($N200,Veg_Parameters!$A$4:$U$65,21,))</f>
        <v>0</v>
      </c>
      <c r="BQ200" s="529">
        <f t="shared" si="314"/>
        <v>0</v>
      </c>
      <c r="BR200" s="529">
        <f t="shared" si="315"/>
        <v>0</v>
      </c>
      <c r="BS200" s="529">
        <f t="shared" si="294"/>
        <v>0</v>
      </c>
      <c r="BT200" s="529">
        <f t="shared" si="316"/>
        <v>0</v>
      </c>
      <c r="BU200" s="529">
        <f t="shared" si="317"/>
        <v>0</v>
      </c>
      <c r="BV200" s="529">
        <f t="shared" si="318"/>
        <v>0</v>
      </c>
      <c r="BW200" s="532" t="str">
        <f t="shared" si="295"/>
        <v/>
      </c>
      <c r="BX200" s="532" t="str">
        <f t="shared" si="296"/>
        <v/>
      </c>
      <c r="BY200" s="532" t="str">
        <f t="shared" si="297"/>
        <v/>
      </c>
      <c r="BZ200" s="532" t="str">
        <f t="shared" si="298"/>
        <v/>
      </c>
      <c r="CA200" s="532">
        <f t="shared" si="299"/>
        <v>0</v>
      </c>
      <c r="CB200" s="533"/>
      <c r="CC200" s="624">
        <f t="shared" si="300"/>
        <v>0</v>
      </c>
      <c r="CD200" s="534">
        <f t="shared" si="301"/>
        <v>0</v>
      </c>
      <c r="CE200" s="534">
        <f t="shared" si="302"/>
        <v>0</v>
      </c>
      <c r="CF200" s="534">
        <f t="shared" si="303"/>
        <v>0</v>
      </c>
      <c r="CG200" s="534"/>
      <c r="CH200" s="534"/>
      <c r="CI200" s="534">
        <f t="shared" si="319"/>
        <v>0</v>
      </c>
      <c r="CL200" s="534">
        <f>IF(ISNA(VLOOKUP(I200,Veg_Parameters!$A$3:$N$65,13,FALSE)),0,(VLOOKUP(I200,Veg_Parameters!$A$3:$N$65,13,FALSE)))</f>
        <v>0</v>
      </c>
      <c r="CM200" s="534">
        <f t="shared" si="320"/>
        <v>0</v>
      </c>
      <c r="CN200" s="534">
        <f>IF(ISNA(VLOOKUP(N200,Veg_Parameters!$A$3:$N$65,13,FALSE)),0,(VLOOKUP(N200,Veg_Parameters!$A$3:$N$65,13,FALSE)))</f>
        <v>0</v>
      </c>
      <c r="CO200" s="523">
        <f t="shared" si="321"/>
        <v>0</v>
      </c>
    </row>
    <row r="201" spans="1:93" x14ac:dyDescent="0.2">
      <c r="A201" s="227"/>
      <c r="B201" s="171" t="str">
        <f t="shared" si="322"/>
        <v/>
      </c>
      <c r="C201" s="230"/>
      <c r="D201" s="169"/>
      <c r="E201" s="165"/>
      <c r="F201" s="165"/>
      <c r="G201" s="165"/>
      <c r="H201" s="165"/>
      <c r="I201" s="168"/>
      <c r="J201" s="167"/>
      <c r="K201" s="168"/>
      <c r="L201" s="167"/>
      <c r="M201" s="167"/>
      <c r="N201" s="168"/>
      <c r="O201" s="168"/>
      <c r="P201" s="167"/>
      <c r="Q201" s="167"/>
      <c r="R201" s="167"/>
      <c r="S201" s="222" t="str">
        <f>IF(ISBLANK(A201),"",IF(ISNA(VLOOKUP(I201,Veg_Parameters!$A$3:$N$65,3,FALSE)),0,(VLOOKUP(I201,Veg_Parameters!$A$3:$N$65,3,FALSE))))</f>
        <v/>
      </c>
      <c r="T201" s="222" t="str">
        <f>IF(ISBLANK(N201),"",IF(ISNA(VLOOKUP(N201,Veg_Parameters!$A$3:$N$65,3,FALSE)),0,(VLOOKUP(N201,Veg_Parameters!$A$3:$N$65,3,FALSE))))</f>
        <v/>
      </c>
      <c r="U201" s="523">
        <f t="shared" si="304"/>
        <v>0</v>
      </c>
      <c r="V201" s="523">
        <f t="shared" si="280"/>
        <v>0</v>
      </c>
      <c r="W201" s="524">
        <f>IF(ISBLANK(A201),0,IF(ISNA(VLOOKUP($I201,Veg_Parameters!$A$3:$N$65,10,FALSE)),0,(VLOOKUP($I201,Veg_Parameters!$A$3:$N$65,10,FALSE))))</f>
        <v>0</v>
      </c>
      <c r="X201" s="524">
        <f>IF(ISBLANK(A201),0,IF(ISNA(VLOOKUP($I201,Veg_Parameters!$A$3:$N$65,11,FALSE)),0,(VLOOKUP($I201,Veg_Parameters!$A$3:$N$65,11,FALSE))))</f>
        <v>0</v>
      </c>
      <c r="Y201" s="524">
        <f>IF(ISBLANK(A201),0,IF(ISNA(VLOOKUP($I201,Veg_Parameters!$A$3:$N$65,12,FALSE)),0,(VLOOKUP($I201,Veg_Parameters!$A$3:$N$65,12,FALSE))))</f>
        <v>0</v>
      </c>
      <c r="Z201" s="525">
        <f t="shared" si="281"/>
        <v>0</v>
      </c>
      <c r="AA201" s="525">
        <f t="shared" si="282"/>
        <v>0</v>
      </c>
      <c r="AB201" s="525">
        <f t="shared" si="283"/>
        <v>0</v>
      </c>
      <c r="AC201" s="524">
        <f>IF(ISBLANK(N201),0,IF(ISNA(VLOOKUP($N201,Veg_Parameters!$A$3:$N$65,10,FALSE)),0,(VLOOKUP($N201,Veg_Parameters!$A$3:$N$65,10,FALSE))))</f>
        <v>0</v>
      </c>
      <c r="AD201" s="524">
        <f>IF(ISBLANK(N201),0,IF(ISNA(VLOOKUP($N201,Veg_Parameters!$A$3:$N$65,11,FALSE)),0,(VLOOKUP($N201,Veg_Parameters!$A$3:$N$65,11,FALSE))))</f>
        <v>0</v>
      </c>
      <c r="AE201" s="524">
        <f>IF(ISBLANK(N201), 0, IF(ISNA(VLOOKUP($N201,Veg_Parameters!$A$3:$N$65,12,FALSE)),0,(VLOOKUP($N201,Veg_Parameters!$A$3:$N$65,12,FALSE))))</f>
        <v>0</v>
      </c>
      <c r="AF201" s="523">
        <f t="shared" si="284"/>
        <v>0</v>
      </c>
      <c r="AG201" s="523">
        <f t="shared" si="285"/>
        <v>0</v>
      </c>
      <c r="AH201" s="523">
        <f t="shared" si="286"/>
        <v>0</v>
      </c>
      <c r="AI201" s="526"/>
      <c r="AJ201" s="527">
        <f>AB201*(IF(ISNA(VLOOKUP($I201,Veg_Parameters!$A$3:$N$65,5,FALSE)),0,(VLOOKUP($I201,Veg_Parameters!$A$3:$N$65,5,FALSE))))</f>
        <v>0</v>
      </c>
      <c r="AK201" s="527">
        <f>IF(ISNA(VLOOKUP($I201,Veg_Parameters!$A$3:$N$65,4,FALSE)),0,(VLOOKUP($I201,Veg_Parameters!$A$3:$N$65,4,FALSE)))</f>
        <v>0</v>
      </c>
      <c r="AL201" s="527">
        <f>AB201*(IF(ISNA(VLOOKUP($I201,Veg_Parameters!$A$3:$N$65,7,FALSE)),0, (VLOOKUP($I201,Veg_Parameters!$A$3:$N$65,7,FALSE))))</f>
        <v>0</v>
      </c>
      <c r="AM201" s="528">
        <f>IF(ISNA(VLOOKUP($I201,Veg_Parameters!$A$3:$N$65,6,FALSE)), 0, (VLOOKUP($I201,Veg_Parameters!$A$3:$N$65,6,FALSE)))</f>
        <v>0</v>
      </c>
      <c r="AN201" s="529">
        <f t="shared" si="287"/>
        <v>20</v>
      </c>
      <c r="AO201" s="529">
        <f t="shared" si="288"/>
        <v>0</v>
      </c>
      <c r="AP201" s="529">
        <f t="shared" si="289"/>
        <v>0</v>
      </c>
      <c r="AQ201" s="530">
        <f t="shared" si="305"/>
        <v>0</v>
      </c>
      <c r="AR201" s="527" t="s">
        <v>3</v>
      </c>
      <c r="AS201" s="527">
        <f>IF(ISNA(VLOOKUP($I201,Veg_Parameters!$A$3:$N$65,8,FALSE)), 0, (VLOOKUP($I201,Veg_Parameters!$A$3:$N$65,8,FALSE)))</f>
        <v>0</v>
      </c>
      <c r="AT201" s="527">
        <f>AB201*(IF(ISNA(VLOOKUP($I201,Veg_Parameters!$A$3:$N$65,9,FALSE)), 0, (VLOOKUP($I201,Veg_Parameters!$A$3:$N$65,9,FALSE))))</f>
        <v>0</v>
      </c>
      <c r="AU201" s="527">
        <f>IF(ISBLANK(A201),0,VLOOKUP($I201,Veg_Parameters!$A$4:$U$65,21,))</f>
        <v>0</v>
      </c>
      <c r="AV201" s="527">
        <f t="shared" si="306"/>
        <v>0</v>
      </c>
      <c r="AW201" s="529">
        <f t="shared" si="307"/>
        <v>0</v>
      </c>
      <c r="AX201" s="529">
        <f t="shared" si="308"/>
        <v>0</v>
      </c>
      <c r="AY201" s="529">
        <f t="shared" si="290"/>
        <v>0</v>
      </c>
      <c r="AZ201" s="529">
        <f t="shared" si="309"/>
        <v>0</v>
      </c>
      <c r="BA201" s="529">
        <f t="shared" si="310"/>
        <v>0</v>
      </c>
      <c r="BB201" s="529">
        <f t="shared" si="311"/>
        <v>0</v>
      </c>
      <c r="BC201" s="529">
        <f t="shared" si="291"/>
        <v>0</v>
      </c>
      <c r="BD201" s="531"/>
      <c r="BE201" s="527">
        <f>AH201*(IF(ISNA(VLOOKUP($N201,Veg_Parameters!$A$3:$N$65,5,FALSE)),0,(VLOOKUP($N201,Veg_Parameters!$A$3:$N$65,5,FALSE))))</f>
        <v>0</v>
      </c>
      <c r="BF201" s="527">
        <f>IF(ISNA(VLOOKUP($N201,Veg_Parameters!$A$3:$N$65,4,FALSE)),0,(VLOOKUP($N201,Veg_Parameters!$A$3:$N$65,4,FALSE)))</f>
        <v>0</v>
      </c>
      <c r="BG201" s="527">
        <f>AH201*(IF(ISNA(VLOOKUP($N201,Veg_Parameters!$A$3:$N$65,7,FALSE)),0, (VLOOKUP($N201,Veg_Parameters!$A$3:$N$65,7,FALSE))))</f>
        <v>0</v>
      </c>
      <c r="BH201" s="527">
        <f>IF(ISNA(VLOOKUP($N201,Veg_Parameters!$A$3:$N$65,6,FALSE)), 0, (VLOOKUP($N201,Veg_Parameters!$A$3:$N$65,6,FALSE)))</f>
        <v>0</v>
      </c>
      <c r="BI201" s="529">
        <f t="shared" si="292"/>
        <v>20</v>
      </c>
      <c r="BJ201" s="529">
        <f t="shared" si="312"/>
        <v>0</v>
      </c>
      <c r="BK201" s="529">
        <f t="shared" si="293"/>
        <v>0</v>
      </c>
      <c r="BL201" s="530">
        <f t="shared" si="313"/>
        <v>0</v>
      </c>
      <c r="BM201" s="527" t="s">
        <v>3</v>
      </c>
      <c r="BN201" s="527">
        <f>IF(ISNA(VLOOKUP(N201,Veg_Parameters!$A$3:$N$65,8,FALSE)), 0, (VLOOKUP($N201,Veg_Parameters!$A$3:$N$65,8,FALSE)))</f>
        <v>0</v>
      </c>
      <c r="BO201" s="527">
        <f>AH201*(IF(ISNA(VLOOKUP($N201,Veg_Parameters!$A$3:$N$65,9,FALSE)), 0, (VLOOKUP($N201,Veg_Parameters!$A$3:$N$65,9,FALSE))))</f>
        <v>0</v>
      </c>
      <c r="BP201" s="527" t="str">
        <f>IF(ISBLANK(N201),"0",VLOOKUP($N201,Veg_Parameters!$A$4:$U$65,21,))</f>
        <v>0</v>
      </c>
      <c r="BQ201" s="529">
        <f t="shared" si="314"/>
        <v>0</v>
      </c>
      <c r="BR201" s="529">
        <f t="shared" si="315"/>
        <v>0</v>
      </c>
      <c r="BS201" s="529">
        <f t="shared" si="294"/>
        <v>0</v>
      </c>
      <c r="BT201" s="529">
        <f t="shared" si="316"/>
        <v>0</v>
      </c>
      <c r="BU201" s="529">
        <f t="shared" si="317"/>
        <v>0</v>
      </c>
      <c r="BV201" s="529">
        <f t="shared" si="318"/>
        <v>0</v>
      </c>
      <c r="BW201" s="532" t="str">
        <f t="shared" si="295"/>
        <v/>
      </c>
      <c r="BX201" s="532" t="str">
        <f t="shared" si="296"/>
        <v/>
      </c>
      <c r="BY201" s="532" t="str">
        <f t="shared" si="297"/>
        <v/>
      </c>
      <c r="BZ201" s="532" t="str">
        <f t="shared" si="298"/>
        <v/>
      </c>
      <c r="CA201" s="532">
        <f t="shared" si="299"/>
        <v>0</v>
      </c>
      <c r="CB201" s="533"/>
      <c r="CC201" s="624">
        <f t="shared" si="300"/>
        <v>0</v>
      </c>
      <c r="CD201" s="534">
        <f t="shared" si="301"/>
        <v>0</v>
      </c>
      <c r="CE201" s="534">
        <f t="shared" si="302"/>
        <v>0</v>
      </c>
      <c r="CF201" s="534">
        <f t="shared" si="303"/>
        <v>0</v>
      </c>
      <c r="CG201" s="534"/>
      <c r="CH201" s="534"/>
      <c r="CI201" s="534">
        <f t="shared" si="319"/>
        <v>0</v>
      </c>
      <c r="CL201" s="534">
        <f>IF(ISNA(VLOOKUP(I201,Veg_Parameters!$A$3:$N$65,13,FALSE)),0,(VLOOKUP(I201,Veg_Parameters!$A$3:$N$65,13,FALSE)))</f>
        <v>0</v>
      </c>
      <c r="CM201" s="534">
        <f t="shared" si="320"/>
        <v>0</v>
      </c>
      <c r="CN201" s="534">
        <f>IF(ISNA(VLOOKUP(N201,Veg_Parameters!$A$3:$N$65,13,FALSE)),0,(VLOOKUP(N201,Veg_Parameters!$A$3:$N$65,13,FALSE)))</f>
        <v>0</v>
      </c>
      <c r="CO201" s="523">
        <f t="shared" si="321"/>
        <v>0</v>
      </c>
    </row>
    <row r="202" spans="1:93" x14ac:dyDescent="0.2">
      <c r="A202" s="227"/>
      <c r="B202" s="171" t="str">
        <f t="shared" si="322"/>
        <v/>
      </c>
      <c r="C202" s="230"/>
      <c r="D202" s="169"/>
      <c r="E202" s="165"/>
      <c r="F202" s="165"/>
      <c r="G202" s="165"/>
      <c r="H202" s="165"/>
      <c r="I202" s="168"/>
      <c r="J202" s="167"/>
      <c r="K202" s="168"/>
      <c r="L202" s="167"/>
      <c r="M202" s="167"/>
      <c r="N202" s="168"/>
      <c r="O202" s="168"/>
      <c r="P202" s="167"/>
      <c r="Q202" s="167"/>
      <c r="R202" s="167"/>
      <c r="S202" s="222" t="str">
        <f>IF(ISBLANK(A202),"",IF(ISNA(VLOOKUP(I202,Veg_Parameters!$A$3:$N$65,3,FALSE)),0,(VLOOKUP(I202,Veg_Parameters!$A$3:$N$65,3,FALSE))))</f>
        <v/>
      </c>
      <c r="T202" s="222" t="str">
        <f>IF(ISBLANK(N202),"",IF(ISNA(VLOOKUP(N202,Veg_Parameters!$A$3:$N$65,3,FALSE)),0,(VLOOKUP(N202,Veg_Parameters!$A$3:$N$65,3,FALSE))))</f>
        <v/>
      </c>
      <c r="U202" s="523">
        <f t="shared" si="304"/>
        <v>0</v>
      </c>
      <c r="V202" s="523">
        <f t="shared" si="280"/>
        <v>0</v>
      </c>
      <c r="W202" s="524">
        <f>IF(ISBLANK(A202),0,IF(ISNA(VLOOKUP($I202,Veg_Parameters!$A$3:$N$65,10,FALSE)),0,(VLOOKUP($I202,Veg_Parameters!$A$3:$N$65,10,FALSE))))</f>
        <v>0</v>
      </c>
      <c r="X202" s="524">
        <f>IF(ISBLANK(A202),0,IF(ISNA(VLOOKUP($I202,Veg_Parameters!$A$3:$N$65,11,FALSE)),0,(VLOOKUP($I202,Veg_Parameters!$A$3:$N$65,11,FALSE))))</f>
        <v>0</v>
      </c>
      <c r="Y202" s="524">
        <f>IF(ISBLANK(A202),0,IF(ISNA(VLOOKUP($I202,Veg_Parameters!$A$3:$N$65,12,FALSE)),0,(VLOOKUP($I202,Veg_Parameters!$A$3:$N$65,12,FALSE))))</f>
        <v>0</v>
      </c>
      <c r="Z202" s="525">
        <f t="shared" si="281"/>
        <v>0</v>
      </c>
      <c r="AA202" s="525">
        <f t="shared" si="282"/>
        <v>0</v>
      </c>
      <c r="AB202" s="525">
        <f t="shared" si="283"/>
        <v>0</v>
      </c>
      <c r="AC202" s="524">
        <f>IF(ISBLANK(N202),0,IF(ISNA(VLOOKUP($N202,Veg_Parameters!$A$3:$N$65,10,FALSE)),0,(VLOOKUP($N202,Veg_Parameters!$A$3:$N$65,10,FALSE))))</f>
        <v>0</v>
      </c>
      <c r="AD202" s="524">
        <f>IF(ISBLANK(N202),0,IF(ISNA(VLOOKUP($N202,Veg_Parameters!$A$3:$N$65,11,FALSE)),0,(VLOOKUP($N202,Veg_Parameters!$A$3:$N$65,11,FALSE))))</f>
        <v>0</v>
      </c>
      <c r="AE202" s="524">
        <f>IF(ISBLANK(N202), 0, IF(ISNA(VLOOKUP($N202,Veg_Parameters!$A$3:$N$65,12,FALSE)),0,(VLOOKUP($N202,Veg_Parameters!$A$3:$N$65,12,FALSE))))</f>
        <v>0</v>
      </c>
      <c r="AF202" s="523">
        <f t="shared" si="284"/>
        <v>0</v>
      </c>
      <c r="AG202" s="523">
        <f t="shared" si="285"/>
        <v>0</v>
      </c>
      <c r="AH202" s="523">
        <f t="shared" si="286"/>
        <v>0</v>
      </c>
      <c r="AI202" s="526"/>
      <c r="AJ202" s="527">
        <f>AB202*(IF(ISNA(VLOOKUP($I202,Veg_Parameters!$A$3:$N$65,5,FALSE)),0,(VLOOKUP($I202,Veg_Parameters!$A$3:$N$65,5,FALSE))))</f>
        <v>0</v>
      </c>
      <c r="AK202" s="527">
        <f>IF(ISNA(VLOOKUP($I202,Veg_Parameters!$A$3:$N$65,4,FALSE)),0,(VLOOKUP($I202,Veg_Parameters!$A$3:$N$65,4,FALSE)))</f>
        <v>0</v>
      </c>
      <c r="AL202" s="527">
        <f>AB202*(IF(ISNA(VLOOKUP($I202,Veg_Parameters!$A$3:$N$65,7,FALSE)),0, (VLOOKUP($I202,Veg_Parameters!$A$3:$N$65,7,FALSE))))</f>
        <v>0</v>
      </c>
      <c r="AM202" s="528">
        <f>IF(ISNA(VLOOKUP($I202,Veg_Parameters!$A$3:$N$65,6,FALSE)), 0, (VLOOKUP($I202,Veg_Parameters!$A$3:$N$65,6,FALSE)))</f>
        <v>0</v>
      </c>
      <c r="AN202" s="529">
        <f t="shared" si="287"/>
        <v>20</v>
      </c>
      <c r="AO202" s="529">
        <f t="shared" si="288"/>
        <v>0</v>
      </c>
      <c r="AP202" s="529">
        <f t="shared" si="289"/>
        <v>0</v>
      </c>
      <c r="AQ202" s="530">
        <f t="shared" si="305"/>
        <v>0</v>
      </c>
      <c r="AR202" s="527" t="s">
        <v>3</v>
      </c>
      <c r="AS202" s="527">
        <f>IF(ISNA(VLOOKUP($I202,Veg_Parameters!$A$3:$N$65,8,FALSE)), 0, (VLOOKUP($I202,Veg_Parameters!$A$3:$N$65,8,FALSE)))</f>
        <v>0</v>
      </c>
      <c r="AT202" s="527">
        <f>AB202*(IF(ISNA(VLOOKUP($I202,Veg_Parameters!$A$3:$N$65,9,FALSE)), 0, (VLOOKUP($I202,Veg_Parameters!$A$3:$N$65,9,FALSE))))</f>
        <v>0</v>
      </c>
      <c r="AU202" s="527">
        <f>IF(ISBLANK(A202),0,VLOOKUP($I202,Veg_Parameters!$A$4:$U$65,21,))</f>
        <v>0</v>
      </c>
      <c r="AV202" s="527">
        <f t="shared" si="306"/>
        <v>0</v>
      </c>
      <c r="AW202" s="529">
        <f t="shared" si="307"/>
        <v>0</v>
      </c>
      <c r="AX202" s="529">
        <f t="shared" si="308"/>
        <v>0</v>
      </c>
      <c r="AY202" s="529">
        <f t="shared" si="290"/>
        <v>0</v>
      </c>
      <c r="AZ202" s="529">
        <f t="shared" si="309"/>
        <v>0</v>
      </c>
      <c r="BA202" s="529">
        <f t="shared" si="310"/>
        <v>0</v>
      </c>
      <c r="BB202" s="529">
        <f t="shared" si="311"/>
        <v>0</v>
      </c>
      <c r="BC202" s="529">
        <f t="shared" si="291"/>
        <v>0</v>
      </c>
      <c r="BD202" s="531"/>
      <c r="BE202" s="527">
        <f>AH202*(IF(ISNA(VLOOKUP($N202,Veg_Parameters!$A$3:$N$65,5,FALSE)),0,(VLOOKUP($N202,Veg_Parameters!$A$3:$N$65,5,FALSE))))</f>
        <v>0</v>
      </c>
      <c r="BF202" s="527">
        <f>IF(ISNA(VLOOKUP($N202,Veg_Parameters!$A$3:$N$65,4,FALSE)),0,(VLOOKUP($N202,Veg_Parameters!$A$3:$N$65,4,FALSE)))</f>
        <v>0</v>
      </c>
      <c r="BG202" s="527">
        <f>AH202*(IF(ISNA(VLOOKUP($N202,Veg_Parameters!$A$3:$N$65,7,FALSE)),0, (VLOOKUP($N202,Veg_Parameters!$A$3:$N$65,7,FALSE))))</f>
        <v>0</v>
      </c>
      <c r="BH202" s="527">
        <f>IF(ISNA(VLOOKUP($N202,Veg_Parameters!$A$3:$N$65,6,FALSE)), 0, (VLOOKUP($N202,Veg_Parameters!$A$3:$N$65,6,FALSE)))</f>
        <v>0</v>
      </c>
      <c r="BI202" s="529">
        <f t="shared" si="292"/>
        <v>20</v>
      </c>
      <c r="BJ202" s="529">
        <f t="shared" si="312"/>
        <v>0</v>
      </c>
      <c r="BK202" s="529">
        <f t="shared" si="293"/>
        <v>0</v>
      </c>
      <c r="BL202" s="530">
        <f t="shared" si="313"/>
        <v>0</v>
      </c>
      <c r="BM202" s="527" t="s">
        <v>3</v>
      </c>
      <c r="BN202" s="527">
        <f>IF(ISNA(VLOOKUP(N202,Veg_Parameters!$A$3:$N$65,8,FALSE)), 0, (VLOOKUP($N202,Veg_Parameters!$A$3:$N$65,8,FALSE)))</f>
        <v>0</v>
      </c>
      <c r="BO202" s="527">
        <f>AH202*(IF(ISNA(VLOOKUP($N202,Veg_Parameters!$A$3:$N$65,9,FALSE)), 0, (VLOOKUP($N202,Veg_Parameters!$A$3:$N$65,9,FALSE))))</f>
        <v>0</v>
      </c>
      <c r="BP202" s="527" t="str">
        <f>IF(ISBLANK(N202),"0",VLOOKUP($N202,Veg_Parameters!$A$4:$U$65,21,))</f>
        <v>0</v>
      </c>
      <c r="BQ202" s="529">
        <f t="shared" si="314"/>
        <v>0</v>
      </c>
      <c r="BR202" s="529">
        <f t="shared" si="315"/>
        <v>0</v>
      </c>
      <c r="BS202" s="529">
        <f t="shared" si="294"/>
        <v>0</v>
      </c>
      <c r="BT202" s="529">
        <f t="shared" si="316"/>
        <v>0</v>
      </c>
      <c r="BU202" s="529">
        <f t="shared" si="317"/>
        <v>0</v>
      </c>
      <c r="BV202" s="529">
        <f t="shared" si="318"/>
        <v>0</v>
      </c>
      <c r="BW202" s="532" t="str">
        <f t="shared" si="295"/>
        <v/>
      </c>
      <c r="BX202" s="532" t="str">
        <f t="shared" si="296"/>
        <v/>
      </c>
      <c r="BY202" s="532" t="str">
        <f t="shared" si="297"/>
        <v/>
      </c>
      <c r="BZ202" s="532" t="str">
        <f t="shared" si="298"/>
        <v/>
      </c>
      <c r="CA202" s="532">
        <f t="shared" si="299"/>
        <v>0</v>
      </c>
      <c r="CB202" s="533"/>
      <c r="CC202" s="624">
        <f t="shared" si="300"/>
        <v>0</v>
      </c>
      <c r="CD202" s="534">
        <f t="shared" si="301"/>
        <v>0</v>
      </c>
      <c r="CE202" s="534">
        <f t="shared" si="302"/>
        <v>0</v>
      </c>
      <c r="CF202" s="534">
        <f t="shared" si="303"/>
        <v>0</v>
      </c>
      <c r="CG202" s="534"/>
      <c r="CH202" s="534"/>
      <c r="CI202" s="534">
        <f t="shared" si="319"/>
        <v>0</v>
      </c>
      <c r="CL202" s="534">
        <f>IF(ISNA(VLOOKUP(I202,Veg_Parameters!$A$3:$N$65,13,FALSE)),0,(VLOOKUP(I202,Veg_Parameters!$A$3:$N$65,13,FALSE)))</f>
        <v>0</v>
      </c>
      <c r="CM202" s="534">
        <f t="shared" si="320"/>
        <v>0</v>
      </c>
      <c r="CN202" s="534">
        <f>IF(ISNA(VLOOKUP(N202,Veg_Parameters!$A$3:$N$65,13,FALSE)),0,(VLOOKUP(N202,Veg_Parameters!$A$3:$N$65,13,FALSE)))</f>
        <v>0</v>
      </c>
      <c r="CO202" s="523">
        <f t="shared" si="321"/>
        <v>0</v>
      </c>
    </row>
    <row r="203" spans="1:93" x14ac:dyDescent="0.2">
      <c r="A203" s="227"/>
      <c r="B203" s="171" t="str">
        <f t="shared" si="322"/>
        <v/>
      </c>
      <c r="C203" s="230"/>
      <c r="D203" s="169"/>
      <c r="E203" s="165"/>
      <c r="F203" s="165"/>
      <c r="G203" s="165"/>
      <c r="H203" s="165"/>
      <c r="I203" s="168"/>
      <c r="J203" s="167"/>
      <c r="K203" s="168"/>
      <c r="L203" s="167"/>
      <c r="M203" s="167"/>
      <c r="N203" s="168"/>
      <c r="O203" s="168"/>
      <c r="P203" s="167"/>
      <c r="Q203" s="167"/>
      <c r="R203" s="167"/>
      <c r="S203" s="222" t="str">
        <f>IF(ISBLANK(A203),"",IF(ISNA(VLOOKUP(I203,Veg_Parameters!$A$3:$N$65,3,FALSE)),0,(VLOOKUP(I203,Veg_Parameters!$A$3:$N$65,3,FALSE))))</f>
        <v/>
      </c>
      <c r="T203" s="222" t="str">
        <f>IF(ISBLANK(N203),"",IF(ISNA(VLOOKUP(N203,Veg_Parameters!$A$3:$N$65,3,FALSE)),0,(VLOOKUP(N203,Veg_Parameters!$A$3:$N$65,3,FALSE))))</f>
        <v/>
      </c>
      <c r="U203" s="523">
        <f t="shared" si="304"/>
        <v>0</v>
      </c>
      <c r="V203" s="523">
        <f t="shared" si="280"/>
        <v>0</v>
      </c>
      <c r="W203" s="524">
        <f>IF(ISBLANK(A203),0,IF(ISNA(VLOOKUP($I203,Veg_Parameters!$A$3:$N$65,10,FALSE)),0,(VLOOKUP($I203,Veg_Parameters!$A$3:$N$65,10,FALSE))))</f>
        <v>0</v>
      </c>
      <c r="X203" s="524">
        <f>IF(ISBLANK(A203),0,IF(ISNA(VLOOKUP($I203,Veg_Parameters!$A$3:$N$65,11,FALSE)),0,(VLOOKUP($I203,Veg_Parameters!$A$3:$N$65,11,FALSE))))</f>
        <v>0</v>
      </c>
      <c r="Y203" s="524">
        <f>IF(ISBLANK(A203),0,IF(ISNA(VLOOKUP($I203,Veg_Parameters!$A$3:$N$65,12,FALSE)),0,(VLOOKUP($I203,Veg_Parameters!$A$3:$N$65,12,FALSE))))</f>
        <v>0</v>
      </c>
      <c r="Z203" s="525">
        <f t="shared" si="281"/>
        <v>0</v>
      </c>
      <c r="AA203" s="525">
        <f t="shared" si="282"/>
        <v>0</v>
      </c>
      <c r="AB203" s="525">
        <f t="shared" si="283"/>
        <v>0</v>
      </c>
      <c r="AC203" s="524">
        <f>IF(ISBLANK(N203),0,IF(ISNA(VLOOKUP($N203,Veg_Parameters!$A$3:$N$65,10,FALSE)),0,(VLOOKUP($N203,Veg_Parameters!$A$3:$N$65,10,FALSE))))</f>
        <v>0</v>
      </c>
      <c r="AD203" s="524">
        <f>IF(ISBLANK(N203),0,IF(ISNA(VLOOKUP($N203,Veg_Parameters!$A$3:$N$65,11,FALSE)),0,(VLOOKUP($N203,Veg_Parameters!$A$3:$N$65,11,FALSE))))</f>
        <v>0</v>
      </c>
      <c r="AE203" s="524">
        <f>IF(ISBLANK(N203), 0, IF(ISNA(VLOOKUP($N203,Veg_Parameters!$A$3:$N$65,12,FALSE)),0,(VLOOKUP($N203,Veg_Parameters!$A$3:$N$65,12,FALSE))))</f>
        <v>0</v>
      </c>
      <c r="AF203" s="523">
        <f t="shared" si="284"/>
        <v>0</v>
      </c>
      <c r="AG203" s="523">
        <f t="shared" si="285"/>
        <v>0</v>
      </c>
      <c r="AH203" s="523">
        <f t="shared" si="286"/>
        <v>0</v>
      </c>
      <c r="AI203" s="526"/>
      <c r="AJ203" s="527">
        <f>AB203*(IF(ISNA(VLOOKUP($I203,Veg_Parameters!$A$3:$N$65,5,FALSE)),0,(VLOOKUP($I203,Veg_Parameters!$A$3:$N$65,5,FALSE))))</f>
        <v>0</v>
      </c>
      <c r="AK203" s="527">
        <f>IF(ISNA(VLOOKUP($I203,Veg_Parameters!$A$3:$N$65,4,FALSE)),0,(VLOOKUP($I203,Veg_Parameters!$A$3:$N$65,4,FALSE)))</f>
        <v>0</v>
      </c>
      <c r="AL203" s="527">
        <f>AB203*(IF(ISNA(VLOOKUP($I203,Veg_Parameters!$A$3:$N$65,7,FALSE)),0, (VLOOKUP($I203,Veg_Parameters!$A$3:$N$65,7,FALSE))))</f>
        <v>0</v>
      </c>
      <c r="AM203" s="528">
        <f>IF(ISNA(VLOOKUP($I203,Veg_Parameters!$A$3:$N$65,6,FALSE)), 0, (VLOOKUP($I203,Veg_Parameters!$A$3:$N$65,6,FALSE)))</f>
        <v>0</v>
      </c>
      <c r="AN203" s="529">
        <f t="shared" si="287"/>
        <v>20</v>
      </c>
      <c r="AO203" s="529">
        <f t="shared" si="288"/>
        <v>0</v>
      </c>
      <c r="AP203" s="529">
        <f t="shared" si="289"/>
        <v>0</v>
      </c>
      <c r="AQ203" s="530">
        <f t="shared" si="305"/>
        <v>0</v>
      </c>
      <c r="AR203" s="527" t="s">
        <v>3</v>
      </c>
      <c r="AS203" s="527">
        <f>IF(ISNA(VLOOKUP($I203,Veg_Parameters!$A$3:$N$65,8,FALSE)), 0, (VLOOKUP($I203,Veg_Parameters!$A$3:$N$65,8,FALSE)))</f>
        <v>0</v>
      </c>
      <c r="AT203" s="527">
        <f>AB203*(IF(ISNA(VLOOKUP($I203,Veg_Parameters!$A$3:$N$65,9,FALSE)), 0, (VLOOKUP($I203,Veg_Parameters!$A$3:$N$65,9,FALSE))))</f>
        <v>0</v>
      </c>
      <c r="AU203" s="527">
        <f>IF(ISBLANK(A203),0,VLOOKUP($I203,Veg_Parameters!$A$4:$U$65,21,))</f>
        <v>0</v>
      </c>
      <c r="AV203" s="527">
        <f t="shared" si="306"/>
        <v>0</v>
      </c>
      <c r="AW203" s="529">
        <f t="shared" si="307"/>
        <v>0</v>
      </c>
      <c r="AX203" s="529">
        <f t="shared" si="308"/>
        <v>0</v>
      </c>
      <c r="AY203" s="529">
        <f t="shared" si="290"/>
        <v>0</v>
      </c>
      <c r="AZ203" s="529">
        <f t="shared" si="309"/>
        <v>0</v>
      </c>
      <c r="BA203" s="529">
        <f t="shared" si="310"/>
        <v>0</v>
      </c>
      <c r="BB203" s="529">
        <f t="shared" si="311"/>
        <v>0</v>
      </c>
      <c r="BC203" s="529">
        <f t="shared" si="291"/>
        <v>0</v>
      </c>
      <c r="BD203" s="531"/>
      <c r="BE203" s="527">
        <f>AH203*(IF(ISNA(VLOOKUP($N203,Veg_Parameters!$A$3:$N$65,5,FALSE)),0,(VLOOKUP($N203,Veg_Parameters!$A$3:$N$65,5,FALSE))))</f>
        <v>0</v>
      </c>
      <c r="BF203" s="527">
        <f>IF(ISNA(VLOOKUP($N203,Veg_Parameters!$A$3:$N$65,4,FALSE)),0,(VLOOKUP($N203,Veg_Parameters!$A$3:$N$65,4,FALSE)))</f>
        <v>0</v>
      </c>
      <c r="BG203" s="527">
        <f>AH203*(IF(ISNA(VLOOKUP($N203,Veg_Parameters!$A$3:$N$65,7,FALSE)),0, (VLOOKUP($N203,Veg_Parameters!$A$3:$N$65,7,FALSE))))</f>
        <v>0</v>
      </c>
      <c r="BH203" s="527">
        <f>IF(ISNA(VLOOKUP($N203,Veg_Parameters!$A$3:$N$65,6,FALSE)), 0, (VLOOKUP($N203,Veg_Parameters!$A$3:$N$65,6,FALSE)))</f>
        <v>0</v>
      </c>
      <c r="BI203" s="529">
        <f t="shared" si="292"/>
        <v>20</v>
      </c>
      <c r="BJ203" s="529">
        <f t="shared" si="312"/>
        <v>0</v>
      </c>
      <c r="BK203" s="529">
        <f t="shared" si="293"/>
        <v>0</v>
      </c>
      <c r="BL203" s="530">
        <f t="shared" si="313"/>
        <v>0</v>
      </c>
      <c r="BM203" s="527" t="s">
        <v>3</v>
      </c>
      <c r="BN203" s="527">
        <f>IF(ISNA(VLOOKUP(N203,Veg_Parameters!$A$3:$N$65,8,FALSE)), 0, (VLOOKUP($N203,Veg_Parameters!$A$3:$N$65,8,FALSE)))</f>
        <v>0</v>
      </c>
      <c r="BO203" s="527">
        <f>AH203*(IF(ISNA(VLOOKUP($N203,Veg_Parameters!$A$3:$N$65,9,FALSE)), 0, (VLOOKUP($N203,Veg_Parameters!$A$3:$N$65,9,FALSE))))</f>
        <v>0</v>
      </c>
      <c r="BP203" s="527" t="str">
        <f>IF(ISBLANK(N203),"0",VLOOKUP($N203,Veg_Parameters!$A$4:$U$65,21,))</f>
        <v>0</v>
      </c>
      <c r="BQ203" s="529">
        <f t="shared" si="314"/>
        <v>0</v>
      </c>
      <c r="BR203" s="529">
        <f t="shared" si="315"/>
        <v>0</v>
      </c>
      <c r="BS203" s="529">
        <f t="shared" si="294"/>
        <v>0</v>
      </c>
      <c r="BT203" s="529">
        <f t="shared" si="316"/>
        <v>0</v>
      </c>
      <c r="BU203" s="529">
        <f t="shared" si="317"/>
        <v>0</v>
      </c>
      <c r="BV203" s="529">
        <f t="shared" si="318"/>
        <v>0</v>
      </c>
      <c r="BW203" s="532" t="str">
        <f t="shared" si="295"/>
        <v/>
      </c>
      <c r="BX203" s="532" t="str">
        <f t="shared" si="296"/>
        <v/>
      </c>
      <c r="BY203" s="532" t="str">
        <f t="shared" si="297"/>
        <v/>
      </c>
      <c r="BZ203" s="532" t="str">
        <f t="shared" si="298"/>
        <v/>
      </c>
      <c r="CA203" s="532">
        <f t="shared" si="299"/>
        <v>0</v>
      </c>
      <c r="CB203" s="533"/>
      <c r="CC203" s="624">
        <f t="shared" si="300"/>
        <v>0</v>
      </c>
      <c r="CD203" s="534">
        <f t="shared" si="301"/>
        <v>0</v>
      </c>
      <c r="CE203" s="534">
        <f t="shared" si="302"/>
        <v>0</v>
      </c>
      <c r="CF203" s="534">
        <f t="shared" si="303"/>
        <v>0</v>
      </c>
      <c r="CG203" s="534"/>
      <c r="CH203" s="534"/>
      <c r="CI203" s="534">
        <f t="shared" si="319"/>
        <v>0</v>
      </c>
      <c r="CL203" s="534">
        <f>IF(ISNA(VLOOKUP(I203,Veg_Parameters!$A$3:$N$65,13,FALSE)),0,(VLOOKUP(I203,Veg_Parameters!$A$3:$N$65,13,FALSE)))</f>
        <v>0</v>
      </c>
      <c r="CM203" s="534">
        <f t="shared" si="320"/>
        <v>0</v>
      </c>
      <c r="CN203" s="534">
        <f>IF(ISNA(VLOOKUP(N203,Veg_Parameters!$A$3:$N$65,13,FALSE)),0,(VLOOKUP(N203,Veg_Parameters!$A$3:$N$65,13,FALSE)))</f>
        <v>0</v>
      </c>
      <c r="CO203" s="523">
        <f t="shared" si="321"/>
        <v>0</v>
      </c>
    </row>
    <row r="204" spans="1:93" x14ac:dyDescent="0.2">
      <c r="A204" s="227"/>
      <c r="B204" s="171" t="str">
        <f t="shared" si="322"/>
        <v/>
      </c>
      <c r="C204" s="292" t="s">
        <v>27</v>
      </c>
      <c r="D204" s="234"/>
      <c r="E204" s="165"/>
      <c r="F204" s="165"/>
      <c r="G204" s="165"/>
      <c r="H204" s="165"/>
      <c r="I204" s="168"/>
      <c r="J204" s="167"/>
      <c r="K204" s="168"/>
      <c r="L204" s="167"/>
      <c r="M204" s="167"/>
      <c r="N204" s="168"/>
      <c r="O204" s="168"/>
      <c r="P204" s="167"/>
      <c r="Q204" s="167"/>
      <c r="R204" s="167"/>
      <c r="S204" s="222" t="str">
        <f>IF(ISBLANK(A204),"",IF(ISNA(VLOOKUP(I204,Veg_Parameters!$A$3:$N$65,3,FALSE)),0,(VLOOKUP(I204,Veg_Parameters!$A$3:$N$65,3,FALSE))))</f>
        <v/>
      </c>
      <c r="T204" s="222" t="str">
        <f>IF(ISBLANK(N204),"",IF(ISNA(VLOOKUP(N204,Veg_Parameters!$A$3:$N$65,3,FALSE)),0,(VLOOKUP(N204,Veg_Parameters!$A$3:$N$65,3,FALSE))))</f>
        <v/>
      </c>
      <c r="U204" s="523">
        <f t="shared" si="304"/>
        <v>0</v>
      </c>
      <c r="V204" s="523">
        <f t="shared" si="280"/>
        <v>0</v>
      </c>
      <c r="W204" s="524">
        <f>IF(ISBLANK(A204),0,IF(ISNA(VLOOKUP($I204,Veg_Parameters!$A$3:$N$65,10,FALSE)),0,(VLOOKUP($I204,Veg_Parameters!$A$3:$N$65,10,FALSE))))</f>
        <v>0</v>
      </c>
      <c r="X204" s="524">
        <f>IF(ISBLANK(A204),0,IF(ISNA(VLOOKUP($I204,Veg_Parameters!$A$3:$N$65,11,FALSE)),0,(VLOOKUP($I204,Veg_Parameters!$A$3:$N$65,11,FALSE))))</f>
        <v>0</v>
      </c>
      <c r="Y204" s="524">
        <f>IF(ISBLANK(A204),0,IF(ISNA(VLOOKUP($I204,Veg_Parameters!$A$3:$N$65,12,FALSE)),0,(VLOOKUP($I204,Veg_Parameters!$A$3:$N$65,12,FALSE))))</f>
        <v>0</v>
      </c>
      <c r="Z204" s="525">
        <f t="shared" si="281"/>
        <v>0</v>
      </c>
      <c r="AA204" s="525">
        <f t="shared" si="282"/>
        <v>0</v>
      </c>
      <c r="AB204" s="525">
        <f t="shared" si="283"/>
        <v>0</v>
      </c>
      <c r="AC204" s="524">
        <f>IF(ISBLANK(N204),0,IF(ISNA(VLOOKUP($N204,Veg_Parameters!$A$3:$N$65,10,FALSE)),0,(VLOOKUP($N204,Veg_Parameters!$A$3:$N$65,10,FALSE))))</f>
        <v>0</v>
      </c>
      <c r="AD204" s="524">
        <f>IF(ISBLANK(N204),0,IF(ISNA(VLOOKUP($N204,Veg_Parameters!$A$3:$N$65,11,FALSE)),0,(VLOOKUP($N204,Veg_Parameters!$A$3:$N$65,11,FALSE))))</f>
        <v>0</v>
      </c>
      <c r="AE204" s="524">
        <f>IF(ISBLANK(N204), 0, IF(ISNA(VLOOKUP($N204,Veg_Parameters!$A$3:$N$65,12,FALSE)),0,(VLOOKUP($N204,Veg_Parameters!$A$3:$N$65,12,FALSE))))</f>
        <v>0</v>
      </c>
      <c r="AF204" s="523">
        <f t="shared" si="284"/>
        <v>0</v>
      </c>
      <c r="AG204" s="523">
        <f t="shared" si="285"/>
        <v>0</v>
      </c>
      <c r="AH204" s="523">
        <f t="shared" si="286"/>
        <v>0</v>
      </c>
      <c r="AI204" s="526"/>
      <c r="AJ204" s="527">
        <f>AB204*(IF(ISNA(VLOOKUP($I204,Veg_Parameters!$A$3:$N$65,5,FALSE)),0,(VLOOKUP($I204,Veg_Parameters!$A$3:$N$65,5,FALSE))))</f>
        <v>0</v>
      </c>
      <c r="AK204" s="527">
        <f>IF(ISNA(VLOOKUP($I204,Veg_Parameters!$A$3:$N$65,4,FALSE)),0,(VLOOKUP($I204,Veg_Parameters!$A$3:$N$65,4,FALSE)))</f>
        <v>0</v>
      </c>
      <c r="AL204" s="527">
        <f>AB204*(IF(ISNA(VLOOKUP($I204,Veg_Parameters!$A$3:$N$65,7,FALSE)),0, (VLOOKUP($I204,Veg_Parameters!$A$3:$N$65,7,FALSE))))</f>
        <v>0</v>
      </c>
      <c r="AM204" s="528">
        <f>IF(ISNA(VLOOKUP($I204,Veg_Parameters!$A$3:$N$65,6,FALSE)), 0, (VLOOKUP($I204,Veg_Parameters!$A$3:$N$65,6,FALSE)))</f>
        <v>0</v>
      </c>
      <c r="AN204" s="529">
        <f t="shared" si="287"/>
        <v>20</v>
      </c>
      <c r="AO204" s="529">
        <f t="shared" si="288"/>
        <v>0</v>
      </c>
      <c r="AP204" s="529">
        <f t="shared" si="289"/>
        <v>0</v>
      </c>
      <c r="AQ204" s="530">
        <f t="shared" si="305"/>
        <v>0</v>
      </c>
      <c r="AR204" s="527" t="s">
        <v>3</v>
      </c>
      <c r="AS204" s="527">
        <f>IF(ISNA(VLOOKUP($I204,Veg_Parameters!$A$3:$N$65,8,FALSE)), 0, (VLOOKUP($I204,Veg_Parameters!$A$3:$N$65,8,FALSE)))</f>
        <v>0</v>
      </c>
      <c r="AT204" s="527">
        <f>AB204*(IF(ISNA(VLOOKUP($I204,Veg_Parameters!$A$3:$N$65,9,FALSE)), 0, (VLOOKUP($I204,Veg_Parameters!$A$3:$N$65,9,FALSE))))</f>
        <v>0</v>
      </c>
      <c r="AU204" s="527">
        <f>IF(ISBLANK(A204),0,VLOOKUP($I204,Veg_Parameters!$A$4:$U$65,21,))</f>
        <v>0</v>
      </c>
      <c r="AV204" s="527">
        <f t="shared" si="306"/>
        <v>0</v>
      </c>
      <c r="AW204" s="529">
        <f t="shared" si="307"/>
        <v>0</v>
      </c>
      <c r="AX204" s="529">
        <f t="shared" si="308"/>
        <v>0</v>
      </c>
      <c r="AY204" s="529">
        <f t="shared" si="290"/>
        <v>0</v>
      </c>
      <c r="AZ204" s="529">
        <f t="shared" si="309"/>
        <v>0</v>
      </c>
      <c r="BA204" s="529">
        <f t="shared" si="310"/>
        <v>0</v>
      </c>
      <c r="BB204" s="529">
        <f t="shared" si="311"/>
        <v>0</v>
      </c>
      <c r="BC204" s="529">
        <f t="shared" si="291"/>
        <v>0</v>
      </c>
      <c r="BD204" s="531"/>
      <c r="BE204" s="527">
        <f>AH204*(IF(ISNA(VLOOKUP($N204,Veg_Parameters!$A$3:$N$65,5,FALSE)),0,(VLOOKUP($N204,Veg_Parameters!$A$3:$N$65,5,FALSE))))</f>
        <v>0</v>
      </c>
      <c r="BF204" s="527">
        <f>IF(ISNA(VLOOKUP($N204,Veg_Parameters!$A$3:$N$65,4,FALSE)),0,(VLOOKUP($N204,Veg_Parameters!$A$3:$N$65,4,FALSE)))</f>
        <v>0</v>
      </c>
      <c r="BG204" s="527">
        <f>AH204*(IF(ISNA(VLOOKUP($N204,Veg_Parameters!$A$3:$N$65,7,FALSE)),0, (VLOOKUP($N204,Veg_Parameters!$A$3:$N$65,7,FALSE))))</f>
        <v>0</v>
      </c>
      <c r="BH204" s="527">
        <f>IF(ISNA(VLOOKUP($N204,Veg_Parameters!$A$3:$N$65,6,FALSE)), 0, (VLOOKUP($N204,Veg_Parameters!$A$3:$N$65,6,FALSE)))</f>
        <v>0</v>
      </c>
      <c r="BI204" s="529">
        <f t="shared" si="292"/>
        <v>20</v>
      </c>
      <c r="BJ204" s="529">
        <f t="shared" si="312"/>
        <v>0</v>
      </c>
      <c r="BK204" s="529">
        <f t="shared" si="293"/>
        <v>0</v>
      </c>
      <c r="BL204" s="530">
        <f t="shared" si="313"/>
        <v>0</v>
      </c>
      <c r="BM204" s="527" t="s">
        <v>3</v>
      </c>
      <c r="BN204" s="527">
        <f>IF(ISNA(VLOOKUP(N204,Veg_Parameters!$A$3:$N$65,8,FALSE)), 0, (VLOOKUP($N204,Veg_Parameters!$A$3:$N$65,8,FALSE)))</f>
        <v>0</v>
      </c>
      <c r="BO204" s="527">
        <f>AH204*(IF(ISNA(VLOOKUP($N204,Veg_Parameters!$A$3:$N$65,9,FALSE)), 0, (VLOOKUP($N204,Veg_Parameters!$A$3:$N$65,9,FALSE))))</f>
        <v>0</v>
      </c>
      <c r="BP204" s="527" t="str">
        <f>IF(ISBLANK(N204),"0",VLOOKUP($N204,Veg_Parameters!$A$4:$U$65,21,))</f>
        <v>0</v>
      </c>
      <c r="BQ204" s="529">
        <f t="shared" si="314"/>
        <v>0</v>
      </c>
      <c r="BR204" s="529">
        <f t="shared" si="315"/>
        <v>0</v>
      </c>
      <c r="BS204" s="529">
        <f t="shared" si="294"/>
        <v>0</v>
      </c>
      <c r="BT204" s="529">
        <f t="shared" si="316"/>
        <v>0</v>
      </c>
      <c r="BU204" s="529">
        <f t="shared" si="317"/>
        <v>0</v>
      </c>
      <c r="BV204" s="529">
        <f t="shared" si="318"/>
        <v>0</v>
      </c>
      <c r="BW204" s="532" t="str">
        <f t="shared" si="295"/>
        <v/>
      </c>
      <c r="BX204" s="532" t="str">
        <f t="shared" si="296"/>
        <v/>
      </c>
      <c r="BY204" s="532" t="str">
        <f t="shared" si="297"/>
        <v/>
      </c>
      <c r="BZ204" s="532" t="str">
        <f t="shared" si="298"/>
        <v/>
      </c>
      <c r="CA204" s="532">
        <f t="shared" si="299"/>
        <v>0</v>
      </c>
      <c r="CB204" s="533"/>
      <c r="CC204" s="624">
        <f t="shared" si="300"/>
        <v>0</v>
      </c>
      <c r="CD204" s="534">
        <f t="shared" si="301"/>
        <v>0</v>
      </c>
      <c r="CE204" s="534">
        <f t="shared" si="302"/>
        <v>0</v>
      </c>
      <c r="CF204" s="534">
        <f t="shared" si="303"/>
        <v>0</v>
      </c>
      <c r="CG204" s="534"/>
      <c r="CH204" s="534"/>
      <c r="CI204" s="534">
        <f t="shared" si="319"/>
        <v>0</v>
      </c>
      <c r="CL204" s="534">
        <f>IF(ISNA(VLOOKUP(I204,Veg_Parameters!$A$3:$N$65,13,FALSE)),0,(VLOOKUP(I204,Veg_Parameters!$A$3:$N$65,13,FALSE)))</f>
        <v>0</v>
      </c>
      <c r="CM204" s="534">
        <f t="shared" si="320"/>
        <v>0</v>
      </c>
      <c r="CN204" s="534">
        <f>IF(ISNA(VLOOKUP(N204,Veg_Parameters!$A$3:$N$65,13,FALSE)),0,(VLOOKUP(N204,Veg_Parameters!$A$3:$N$65,13,FALSE)))</f>
        <v>0</v>
      </c>
      <c r="CO204" s="523">
        <f t="shared" si="321"/>
        <v>0</v>
      </c>
    </row>
    <row r="205" spans="1:93" x14ac:dyDescent="0.2">
      <c r="A205" s="227"/>
      <c r="B205" s="171" t="str">
        <f t="shared" si="322"/>
        <v/>
      </c>
      <c r="C205" s="230"/>
      <c r="D205" s="169"/>
      <c r="E205" s="165"/>
      <c r="F205" s="165"/>
      <c r="G205" s="165"/>
      <c r="H205" s="165"/>
      <c r="I205" s="168"/>
      <c r="J205" s="167"/>
      <c r="K205" s="168"/>
      <c r="L205" s="167"/>
      <c r="M205" s="167"/>
      <c r="N205" s="168"/>
      <c r="O205" s="168"/>
      <c r="P205" s="167"/>
      <c r="Q205" s="167"/>
      <c r="R205" s="167"/>
      <c r="S205" s="222" t="str">
        <f>IF(ISBLANK(A205),"",IF(ISNA(VLOOKUP(I205,Veg_Parameters!$A$3:$N$65,3,FALSE)),0,(VLOOKUP(I205,Veg_Parameters!$A$3:$N$65,3,FALSE))))</f>
        <v/>
      </c>
      <c r="T205" s="222" t="str">
        <f>IF(ISBLANK(N205),"",IF(ISNA(VLOOKUP(N205,Veg_Parameters!$A$3:$N$65,3,FALSE)),0,(VLOOKUP(N205,Veg_Parameters!$A$3:$N$65,3,FALSE))))</f>
        <v/>
      </c>
      <c r="U205" s="523">
        <f t="shared" si="304"/>
        <v>0</v>
      </c>
      <c r="V205" s="523">
        <f t="shared" si="280"/>
        <v>0</v>
      </c>
      <c r="W205" s="524">
        <f>IF(ISBLANK(A205),0,IF(ISNA(VLOOKUP($I205,Veg_Parameters!$A$3:$N$65,10,FALSE)),0,(VLOOKUP($I205,Veg_Parameters!$A$3:$N$65,10,FALSE))))</f>
        <v>0</v>
      </c>
      <c r="X205" s="524">
        <f>IF(ISBLANK(A205),0,IF(ISNA(VLOOKUP($I205,Veg_Parameters!$A$3:$N$65,11,FALSE)),0,(VLOOKUP($I205,Veg_Parameters!$A$3:$N$65,11,FALSE))))</f>
        <v>0</v>
      </c>
      <c r="Y205" s="524">
        <f>IF(ISBLANK(A205),0,IF(ISNA(VLOOKUP($I205,Veg_Parameters!$A$3:$N$65,12,FALSE)),0,(VLOOKUP($I205,Veg_Parameters!$A$3:$N$65,12,FALSE))))</f>
        <v>0</v>
      </c>
      <c r="Z205" s="525">
        <f t="shared" si="281"/>
        <v>0</v>
      </c>
      <c r="AA205" s="525">
        <f t="shared" si="282"/>
        <v>0</v>
      </c>
      <c r="AB205" s="525">
        <f t="shared" si="283"/>
        <v>0</v>
      </c>
      <c r="AC205" s="524">
        <f>IF(ISBLANK(N205),0,IF(ISNA(VLOOKUP($N205,Veg_Parameters!$A$3:$N$65,10,FALSE)),0,(VLOOKUP($N205,Veg_Parameters!$A$3:$N$65,10,FALSE))))</f>
        <v>0</v>
      </c>
      <c r="AD205" s="524">
        <f>IF(ISBLANK(N205),0,IF(ISNA(VLOOKUP($N205,Veg_Parameters!$A$3:$N$65,11,FALSE)),0,(VLOOKUP($N205,Veg_Parameters!$A$3:$N$65,11,FALSE))))</f>
        <v>0</v>
      </c>
      <c r="AE205" s="524">
        <f>IF(ISBLANK(N205), 0, IF(ISNA(VLOOKUP($N205,Veg_Parameters!$A$3:$N$65,12,FALSE)),0,(VLOOKUP($N205,Veg_Parameters!$A$3:$N$65,12,FALSE))))</f>
        <v>0</v>
      </c>
      <c r="AF205" s="523">
        <f t="shared" si="284"/>
        <v>0</v>
      </c>
      <c r="AG205" s="523">
        <f t="shared" si="285"/>
        <v>0</v>
      </c>
      <c r="AH205" s="523">
        <f t="shared" si="286"/>
        <v>0</v>
      </c>
      <c r="AI205" s="526"/>
      <c r="AJ205" s="527">
        <f>AB205*(IF(ISNA(VLOOKUP($I205,Veg_Parameters!$A$3:$N$65,5,FALSE)),0,(VLOOKUP($I205,Veg_Parameters!$A$3:$N$65,5,FALSE))))</f>
        <v>0</v>
      </c>
      <c r="AK205" s="527">
        <f>IF(ISNA(VLOOKUP($I205,Veg_Parameters!$A$3:$N$65,4,FALSE)),0,(VLOOKUP($I205,Veg_Parameters!$A$3:$N$65,4,FALSE)))</f>
        <v>0</v>
      </c>
      <c r="AL205" s="527">
        <f>AB205*(IF(ISNA(VLOOKUP($I205,Veg_Parameters!$A$3:$N$65,7,FALSE)),0, (VLOOKUP($I205,Veg_Parameters!$A$3:$N$65,7,FALSE))))</f>
        <v>0</v>
      </c>
      <c r="AM205" s="528">
        <f>IF(ISNA(VLOOKUP($I205,Veg_Parameters!$A$3:$N$65,6,FALSE)), 0, (VLOOKUP($I205,Veg_Parameters!$A$3:$N$65,6,FALSE)))</f>
        <v>0</v>
      </c>
      <c r="AN205" s="529">
        <f t="shared" si="287"/>
        <v>20</v>
      </c>
      <c r="AO205" s="529">
        <f t="shared" si="288"/>
        <v>0</v>
      </c>
      <c r="AP205" s="529">
        <f t="shared" si="289"/>
        <v>0</v>
      </c>
      <c r="AQ205" s="530">
        <f t="shared" si="305"/>
        <v>0</v>
      </c>
      <c r="AR205" s="527" t="s">
        <v>3</v>
      </c>
      <c r="AS205" s="527">
        <f>IF(ISNA(VLOOKUP($I205,Veg_Parameters!$A$3:$N$65,8,FALSE)), 0, (VLOOKUP($I205,Veg_Parameters!$A$3:$N$65,8,FALSE)))</f>
        <v>0</v>
      </c>
      <c r="AT205" s="527">
        <f>AB205*(IF(ISNA(VLOOKUP($I205,Veg_Parameters!$A$3:$N$65,9,FALSE)), 0, (VLOOKUP($I205,Veg_Parameters!$A$3:$N$65,9,FALSE))))</f>
        <v>0</v>
      </c>
      <c r="AU205" s="527">
        <f>IF(ISBLANK(A205),0,VLOOKUP($I205,Veg_Parameters!$A$4:$U$65,21,))</f>
        <v>0</v>
      </c>
      <c r="AV205" s="527">
        <f t="shared" si="306"/>
        <v>0</v>
      </c>
      <c r="AW205" s="529">
        <f t="shared" si="307"/>
        <v>0</v>
      </c>
      <c r="AX205" s="529">
        <f t="shared" si="308"/>
        <v>0</v>
      </c>
      <c r="AY205" s="529">
        <f t="shared" si="290"/>
        <v>0</v>
      </c>
      <c r="AZ205" s="529">
        <f t="shared" si="309"/>
        <v>0</v>
      </c>
      <c r="BA205" s="529">
        <f t="shared" si="310"/>
        <v>0</v>
      </c>
      <c r="BB205" s="529">
        <f t="shared" si="311"/>
        <v>0</v>
      </c>
      <c r="BC205" s="529">
        <f t="shared" si="291"/>
        <v>0</v>
      </c>
      <c r="BD205" s="531"/>
      <c r="BE205" s="527">
        <f>AH205*(IF(ISNA(VLOOKUP($N205,Veg_Parameters!$A$3:$N$65,5,FALSE)),0,(VLOOKUP($N205,Veg_Parameters!$A$3:$N$65,5,FALSE))))</f>
        <v>0</v>
      </c>
      <c r="BF205" s="527">
        <f>IF(ISNA(VLOOKUP($N205,Veg_Parameters!$A$3:$N$65,4,FALSE)),0,(VLOOKUP($N205,Veg_Parameters!$A$3:$N$65,4,FALSE)))</f>
        <v>0</v>
      </c>
      <c r="BG205" s="527">
        <f>AH205*(IF(ISNA(VLOOKUP($N205,Veg_Parameters!$A$3:$N$65,7,FALSE)),0, (VLOOKUP($N205,Veg_Parameters!$A$3:$N$65,7,FALSE))))</f>
        <v>0</v>
      </c>
      <c r="BH205" s="527">
        <f>IF(ISNA(VLOOKUP($N205,Veg_Parameters!$A$3:$N$65,6,FALSE)), 0, (VLOOKUP($N205,Veg_Parameters!$A$3:$N$65,6,FALSE)))</f>
        <v>0</v>
      </c>
      <c r="BI205" s="529">
        <f t="shared" si="292"/>
        <v>20</v>
      </c>
      <c r="BJ205" s="529">
        <f t="shared" si="312"/>
        <v>0</v>
      </c>
      <c r="BK205" s="529">
        <f t="shared" si="293"/>
        <v>0</v>
      </c>
      <c r="BL205" s="530">
        <f t="shared" si="313"/>
        <v>0</v>
      </c>
      <c r="BM205" s="527" t="s">
        <v>3</v>
      </c>
      <c r="BN205" s="527">
        <f>IF(ISNA(VLOOKUP(N205,Veg_Parameters!$A$3:$N$65,8,FALSE)), 0, (VLOOKUP($N205,Veg_Parameters!$A$3:$N$65,8,FALSE)))</f>
        <v>0</v>
      </c>
      <c r="BO205" s="527">
        <f>AH205*(IF(ISNA(VLOOKUP($N205,Veg_Parameters!$A$3:$N$65,9,FALSE)), 0, (VLOOKUP($N205,Veg_Parameters!$A$3:$N$65,9,FALSE))))</f>
        <v>0</v>
      </c>
      <c r="BP205" s="527" t="str">
        <f>IF(ISBLANK(N205),"0",VLOOKUP($N205,Veg_Parameters!$A$4:$U$65,21,))</f>
        <v>0</v>
      </c>
      <c r="BQ205" s="529">
        <f t="shared" si="314"/>
        <v>0</v>
      </c>
      <c r="BR205" s="529">
        <f t="shared" si="315"/>
        <v>0</v>
      </c>
      <c r="BS205" s="529">
        <f t="shared" si="294"/>
        <v>0</v>
      </c>
      <c r="BT205" s="529">
        <f t="shared" si="316"/>
        <v>0</v>
      </c>
      <c r="BU205" s="529">
        <f t="shared" si="317"/>
        <v>0</v>
      </c>
      <c r="BV205" s="529">
        <f t="shared" si="318"/>
        <v>0</v>
      </c>
      <c r="BW205" s="532" t="str">
        <f t="shared" si="295"/>
        <v/>
      </c>
      <c r="BX205" s="532" t="str">
        <f t="shared" si="296"/>
        <v/>
      </c>
      <c r="BY205" s="532" t="str">
        <f t="shared" si="297"/>
        <v/>
      </c>
      <c r="BZ205" s="532" t="str">
        <f t="shared" si="298"/>
        <v/>
      </c>
      <c r="CA205" s="532">
        <f t="shared" si="299"/>
        <v>0</v>
      </c>
      <c r="CB205" s="533"/>
      <c r="CC205" s="624">
        <f t="shared" si="300"/>
        <v>0</v>
      </c>
      <c r="CD205" s="534">
        <f t="shared" si="301"/>
        <v>0</v>
      </c>
      <c r="CE205" s="534">
        <f t="shared" si="302"/>
        <v>0</v>
      </c>
      <c r="CF205" s="534">
        <f t="shared" si="303"/>
        <v>0</v>
      </c>
      <c r="CG205" s="534"/>
      <c r="CH205" s="534"/>
      <c r="CI205" s="534">
        <f t="shared" si="319"/>
        <v>0</v>
      </c>
      <c r="CL205" s="534">
        <f>IF(ISNA(VLOOKUP(I205,Veg_Parameters!$A$3:$N$65,13,FALSE)),0,(VLOOKUP(I205,Veg_Parameters!$A$3:$N$65,13,FALSE)))</f>
        <v>0</v>
      </c>
      <c r="CM205" s="534">
        <f t="shared" si="320"/>
        <v>0</v>
      </c>
      <c r="CN205" s="534">
        <f>IF(ISNA(VLOOKUP(N205,Veg_Parameters!$A$3:$N$65,13,FALSE)),0,(VLOOKUP(N205,Veg_Parameters!$A$3:$N$65,13,FALSE)))</f>
        <v>0</v>
      </c>
      <c r="CO205" s="523">
        <f t="shared" si="321"/>
        <v>0</v>
      </c>
    </row>
    <row r="206" spans="1:93" x14ac:dyDescent="0.2">
      <c r="A206" s="227"/>
      <c r="B206" s="171" t="str">
        <f t="shared" si="322"/>
        <v/>
      </c>
      <c r="C206" s="230"/>
      <c r="D206" s="169"/>
      <c r="E206" s="165"/>
      <c r="F206" s="165"/>
      <c r="G206" s="165"/>
      <c r="H206" s="165"/>
      <c r="I206" s="168"/>
      <c r="J206" s="167"/>
      <c r="K206" s="168"/>
      <c r="L206" s="167"/>
      <c r="M206" s="167"/>
      <c r="N206" s="168"/>
      <c r="O206" s="168"/>
      <c r="P206" s="167"/>
      <c r="Q206" s="167"/>
      <c r="R206" s="167"/>
      <c r="S206" s="222" t="str">
        <f>IF(ISBLANK(A206),"",IF(ISNA(VLOOKUP(I206,Veg_Parameters!$A$3:$N$65,3,FALSE)),0,(VLOOKUP(I206,Veg_Parameters!$A$3:$N$65,3,FALSE))))</f>
        <v/>
      </c>
      <c r="T206" s="222" t="str">
        <f>IF(ISBLANK(N206),"",IF(ISNA(VLOOKUP(N206,Veg_Parameters!$A$3:$N$65,3,FALSE)),0,(VLOOKUP(N206,Veg_Parameters!$A$3:$N$65,3,FALSE))))</f>
        <v/>
      </c>
      <c r="U206" s="523">
        <f t="shared" si="304"/>
        <v>0</v>
      </c>
      <c r="V206" s="523">
        <f t="shared" si="280"/>
        <v>0</v>
      </c>
      <c r="W206" s="524">
        <f>IF(ISBLANK(A206),0,IF(ISNA(VLOOKUP($I206,Veg_Parameters!$A$3:$N$65,10,FALSE)),0,(VLOOKUP($I206,Veg_Parameters!$A$3:$N$65,10,FALSE))))</f>
        <v>0</v>
      </c>
      <c r="X206" s="524">
        <f>IF(ISBLANK(A206),0,IF(ISNA(VLOOKUP($I206,Veg_Parameters!$A$3:$N$65,11,FALSE)),0,(VLOOKUP($I206,Veg_Parameters!$A$3:$N$65,11,FALSE))))</f>
        <v>0</v>
      </c>
      <c r="Y206" s="524">
        <f>IF(ISBLANK(A206),0,IF(ISNA(VLOOKUP($I206,Veg_Parameters!$A$3:$N$65,12,FALSE)),0,(VLOOKUP($I206,Veg_Parameters!$A$3:$N$65,12,FALSE))))</f>
        <v>0</v>
      </c>
      <c r="Z206" s="525">
        <f t="shared" si="281"/>
        <v>0</v>
      </c>
      <c r="AA206" s="525">
        <f t="shared" si="282"/>
        <v>0</v>
      </c>
      <c r="AB206" s="525">
        <f t="shared" si="283"/>
        <v>0</v>
      </c>
      <c r="AC206" s="524">
        <f>IF(ISBLANK(N206),0,IF(ISNA(VLOOKUP($N206,Veg_Parameters!$A$3:$N$65,10,FALSE)),0,(VLOOKUP($N206,Veg_Parameters!$A$3:$N$65,10,FALSE))))</f>
        <v>0</v>
      </c>
      <c r="AD206" s="524">
        <f>IF(ISBLANK(N206),0,IF(ISNA(VLOOKUP($N206,Veg_Parameters!$A$3:$N$65,11,FALSE)),0,(VLOOKUP($N206,Veg_Parameters!$A$3:$N$65,11,FALSE))))</f>
        <v>0</v>
      </c>
      <c r="AE206" s="524">
        <f>IF(ISBLANK(N206), 0, IF(ISNA(VLOOKUP($N206,Veg_Parameters!$A$3:$N$65,12,FALSE)),0,(VLOOKUP($N206,Veg_Parameters!$A$3:$N$65,12,FALSE))))</f>
        <v>0</v>
      </c>
      <c r="AF206" s="523">
        <f t="shared" si="284"/>
        <v>0</v>
      </c>
      <c r="AG206" s="523">
        <f t="shared" si="285"/>
        <v>0</v>
      </c>
      <c r="AH206" s="523">
        <f t="shared" si="286"/>
        <v>0</v>
      </c>
      <c r="AI206" s="526"/>
      <c r="AJ206" s="527">
        <f>AB206*(IF(ISNA(VLOOKUP($I206,Veg_Parameters!$A$3:$N$65,5,FALSE)),0,(VLOOKUP($I206,Veg_Parameters!$A$3:$N$65,5,FALSE))))</f>
        <v>0</v>
      </c>
      <c r="AK206" s="527">
        <f>IF(ISNA(VLOOKUP($I206,Veg_Parameters!$A$3:$N$65,4,FALSE)),0,(VLOOKUP($I206,Veg_Parameters!$A$3:$N$65,4,FALSE)))</f>
        <v>0</v>
      </c>
      <c r="AL206" s="527">
        <f>AB206*(IF(ISNA(VLOOKUP($I206,Veg_Parameters!$A$3:$N$65,7,FALSE)),0, (VLOOKUP($I206,Veg_Parameters!$A$3:$N$65,7,FALSE))))</f>
        <v>0</v>
      </c>
      <c r="AM206" s="528">
        <f>IF(ISNA(VLOOKUP($I206,Veg_Parameters!$A$3:$N$65,6,FALSE)), 0, (VLOOKUP($I206,Veg_Parameters!$A$3:$N$65,6,FALSE)))</f>
        <v>0</v>
      </c>
      <c r="AN206" s="529">
        <f t="shared" si="287"/>
        <v>20</v>
      </c>
      <c r="AO206" s="529">
        <f t="shared" si="288"/>
        <v>0</v>
      </c>
      <c r="AP206" s="529">
        <f t="shared" si="289"/>
        <v>0</v>
      </c>
      <c r="AQ206" s="530">
        <f t="shared" si="305"/>
        <v>0</v>
      </c>
      <c r="AR206" s="527" t="s">
        <v>3</v>
      </c>
      <c r="AS206" s="527">
        <f>IF(ISNA(VLOOKUP($I206,Veg_Parameters!$A$3:$N$65,8,FALSE)), 0, (VLOOKUP($I206,Veg_Parameters!$A$3:$N$65,8,FALSE)))</f>
        <v>0</v>
      </c>
      <c r="AT206" s="527">
        <f>AB206*(IF(ISNA(VLOOKUP($I206,Veg_Parameters!$A$3:$N$65,9,FALSE)), 0, (VLOOKUP($I206,Veg_Parameters!$A$3:$N$65,9,FALSE))))</f>
        <v>0</v>
      </c>
      <c r="AU206" s="527">
        <f>IF(ISBLANK(A206),0,VLOOKUP($I206,Veg_Parameters!$A$4:$U$65,21,))</f>
        <v>0</v>
      </c>
      <c r="AV206" s="527">
        <f t="shared" si="306"/>
        <v>0</v>
      </c>
      <c r="AW206" s="529">
        <f t="shared" si="307"/>
        <v>0</v>
      </c>
      <c r="AX206" s="529">
        <f t="shared" si="308"/>
        <v>0</v>
      </c>
      <c r="AY206" s="529">
        <f t="shared" si="290"/>
        <v>0</v>
      </c>
      <c r="AZ206" s="529">
        <f t="shared" si="309"/>
        <v>0</v>
      </c>
      <c r="BA206" s="529">
        <f t="shared" si="310"/>
        <v>0</v>
      </c>
      <c r="BB206" s="529">
        <f t="shared" si="311"/>
        <v>0</v>
      </c>
      <c r="BC206" s="529">
        <f t="shared" si="291"/>
        <v>0</v>
      </c>
      <c r="BD206" s="531"/>
      <c r="BE206" s="527">
        <f>AH206*(IF(ISNA(VLOOKUP($N206,Veg_Parameters!$A$3:$N$65,5,FALSE)),0,(VLOOKUP($N206,Veg_Parameters!$A$3:$N$65,5,FALSE))))</f>
        <v>0</v>
      </c>
      <c r="BF206" s="527">
        <f>IF(ISNA(VLOOKUP($N206,Veg_Parameters!$A$3:$N$65,4,FALSE)),0,(VLOOKUP($N206,Veg_Parameters!$A$3:$N$65,4,FALSE)))</f>
        <v>0</v>
      </c>
      <c r="BG206" s="527">
        <f>AH206*(IF(ISNA(VLOOKUP($N206,Veg_Parameters!$A$3:$N$65,7,FALSE)),0, (VLOOKUP($N206,Veg_Parameters!$A$3:$N$65,7,FALSE))))</f>
        <v>0</v>
      </c>
      <c r="BH206" s="527">
        <f>IF(ISNA(VLOOKUP($N206,Veg_Parameters!$A$3:$N$65,6,FALSE)), 0, (VLOOKUP($N206,Veg_Parameters!$A$3:$N$65,6,FALSE)))</f>
        <v>0</v>
      </c>
      <c r="BI206" s="529">
        <f t="shared" si="292"/>
        <v>20</v>
      </c>
      <c r="BJ206" s="529">
        <f t="shared" si="312"/>
        <v>0</v>
      </c>
      <c r="BK206" s="529">
        <f t="shared" si="293"/>
        <v>0</v>
      </c>
      <c r="BL206" s="530">
        <f t="shared" si="313"/>
        <v>0</v>
      </c>
      <c r="BM206" s="527" t="s">
        <v>3</v>
      </c>
      <c r="BN206" s="527">
        <f>IF(ISNA(VLOOKUP(N206,Veg_Parameters!$A$3:$N$65,8,FALSE)), 0, (VLOOKUP($N206,Veg_Parameters!$A$3:$N$65,8,FALSE)))</f>
        <v>0</v>
      </c>
      <c r="BO206" s="527">
        <f>AH206*(IF(ISNA(VLOOKUP($N206,Veg_Parameters!$A$3:$N$65,9,FALSE)), 0, (VLOOKUP($N206,Veg_Parameters!$A$3:$N$65,9,FALSE))))</f>
        <v>0</v>
      </c>
      <c r="BP206" s="527" t="str">
        <f>IF(ISBLANK(N206),"0",VLOOKUP($N206,Veg_Parameters!$A$4:$U$65,21,))</f>
        <v>0</v>
      </c>
      <c r="BQ206" s="529">
        <f t="shared" si="314"/>
        <v>0</v>
      </c>
      <c r="BR206" s="529">
        <f t="shared" si="315"/>
        <v>0</v>
      </c>
      <c r="BS206" s="529">
        <f t="shared" si="294"/>
        <v>0</v>
      </c>
      <c r="BT206" s="529">
        <f t="shared" si="316"/>
        <v>0</v>
      </c>
      <c r="BU206" s="529">
        <f t="shared" si="317"/>
        <v>0</v>
      </c>
      <c r="BV206" s="529">
        <f t="shared" si="318"/>
        <v>0</v>
      </c>
      <c r="BW206" s="532" t="str">
        <f t="shared" si="295"/>
        <v/>
      </c>
      <c r="BX206" s="532" t="str">
        <f t="shared" si="296"/>
        <v/>
      </c>
      <c r="BY206" s="532" t="str">
        <f t="shared" si="297"/>
        <v/>
      </c>
      <c r="BZ206" s="532" t="str">
        <f t="shared" si="298"/>
        <v/>
      </c>
      <c r="CA206" s="532">
        <f t="shared" si="299"/>
        <v>0</v>
      </c>
      <c r="CB206" s="533"/>
      <c r="CC206" s="624">
        <f t="shared" si="300"/>
        <v>0</v>
      </c>
      <c r="CD206" s="534">
        <f t="shared" si="301"/>
        <v>0</v>
      </c>
      <c r="CE206" s="534">
        <f t="shared" si="302"/>
        <v>0</v>
      </c>
      <c r="CF206" s="534">
        <f t="shared" si="303"/>
        <v>0</v>
      </c>
      <c r="CG206" s="534"/>
      <c r="CH206" s="534"/>
      <c r="CI206" s="534">
        <f t="shared" si="319"/>
        <v>0</v>
      </c>
      <c r="CL206" s="534">
        <f>IF(ISNA(VLOOKUP(I206,Veg_Parameters!$A$3:$N$65,13,FALSE)),0,(VLOOKUP(I206,Veg_Parameters!$A$3:$N$65,13,FALSE)))</f>
        <v>0</v>
      </c>
      <c r="CM206" s="534">
        <f t="shared" si="320"/>
        <v>0</v>
      </c>
      <c r="CN206" s="534">
        <f>IF(ISNA(VLOOKUP(N206,Veg_Parameters!$A$3:$N$65,13,FALSE)),0,(VLOOKUP(N206,Veg_Parameters!$A$3:$N$65,13,FALSE)))</f>
        <v>0</v>
      </c>
      <c r="CO206" s="523">
        <f t="shared" si="321"/>
        <v>0</v>
      </c>
    </row>
    <row r="207" spans="1:93" x14ac:dyDescent="0.2">
      <c r="A207" s="227"/>
      <c r="B207" s="171" t="str">
        <f t="shared" si="322"/>
        <v/>
      </c>
      <c r="C207" s="230"/>
      <c r="D207" s="169"/>
      <c r="E207" s="165"/>
      <c r="F207" s="165"/>
      <c r="G207" s="165"/>
      <c r="H207" s="165"/>
      <c r="I207" s="168"/>
      <c r="J207" s="167"/>
      <c r="K207" s="168"/>
      <c r="L207" s="167"/>
      <c r="M207" s="167"/>
      <c r="N207" s="168"/>
      <c r="O207" s="168"/>
      <c r="P207" s="167"/>
      <c r="Q207" s="167"/>
      <c r="R207" s="167"/>
      <c r="S207" s="222" t="str">
        <f>IF(ISBLANK(A207),"",IF(ISNA(VLOOKUP(I207,Veg_Parameters!$A$3:$N$65,3,FALSE)),0,(VLOOKUP(I207,Veg_Parameters!$A$3:$N$65,3,FALSE))))</f>
        <v/>
      </c>
      <c r="T207" s="222" t="str">
        <f>IF(ISBLANK(N207),"",IF(ISNA(VLOOKUP(N207,Veg_Parameters!$A$3:$N$65,3,FALSE)),0,(VLOOKUP(N207,Veg_Parameters!$A$3:$N$65,3,FALSE))))</f>
        <v/>
      </c>
      <c r="U207" s="523">
        <f t="shared" si="304"/>
        <v>0</v>
      </c>
      <c r="V207" s="523">
        <f t="shared" si="280"/>
        <v>0</v>
      </c>
      <c r="W207" s="524">
        <f>IF(ISBLANK(A207),0,IF(ISNA(VLOOKUP($I207,Veg_Parameters!$A$3:$N$65,10,FALSE)),0,(VLOOKUP($I207,Veg_Parameters!$A$3:$N$65,10,FALSE))))</f>
        <v>0</v>
      </c>
      <c r="X207" s="524">
        <f>IF(ISBLANK(A207),0,IF(ISNA(VLOOKUP($I207,Veg_Parameters!$A$3:$N$65,11,FALSE)),0,(VLOOKUP($I207,Veg_Parameters!$A$3:$N$65,11,FALSE))))</f>
        <v>0</v>
      </c>
      <c r="Y207" s="524">
        <f>IF(ISBLANK(A207),0,IF(ISNA(VLOOKUP($I207,Veg_Parameters!$A$3:$N$65,12,FALSE)),0,(VLOOKUP($I207,Veg_Parameters!$A$3:$N$65,12,FALSE))))</f>
        <v>0</v>
      </c>
      <c r="Z207" s="525">
        <f t="shared" si="281"/>
        <v>0</v>
      </c>
      <c r="AA207" s="525">
        <f t="shared" si="282"/>
        <v>0</v>
      </c>
      <c r="AB207" s="525">
        <f t="shared" si="283"/>
        <v>0</v>
      </c>
      <c r="AC207" s="524">
        <f>IF(ISBLANK(N207),0,IF(ISNA(VLOOKUP($N207,Veg_Parameters!$A$3:$N$65,10,FALSE)),0,(VLOOKUP($N207,Veg_Parameters!$A$3:$N$65,10,FALSE))))</f>
        <v>0</v>
      </c>
      <c r="AD207" s="524">
        <f>IF(ISBLANK(N207),0,IF(ISNA(VLOOKUP($N207,Veg_Parameters!$A$3:$N$65,11,FALSE)),0,(VLOOKUP($N207,Veg_Parameters!$A$3:$N$65,11,FALSE))))</f>
        <v>0</v>
      </c>
      <c r="AE207" s="524">
        <f>IF(ISBLANK(N207), 0, IF(ISNA(VLOOKUP($N207,Veg_Parameters!$A$3:$N$65,12,FALSE)),0,(VLOOKUP($N207,Veg_Parameters!$A$3:$N$65,12,FALSE))))</f>
        <v>0</v>
      </c>
      <c r="AF207" s="523">
        <f t="shared" si="284"/>
        <v>0</v>
      </c>
      <c r="AG207" s="523">
        <f t="shared" si="285"/>
        <v>0</v>
      </c>
      <c r="AH207" s="523">
        <f t="shared" si="286"/>
        <v>0</v>
      </c>
      <c r="AI207" s="526"/>
      <c r="AJ207" s="527">
        <f>AB207*(IF(ISNA(VLOOKUP($I207,Veg_Parameters!$A$3:$N$65,5,FALSE)),0,(VLOOKUP($I207,Veg_Parameters!$A$3:$N$65,5,FALSE))))</f>
        <v>0</v>
      </c>
      <c r="AK207" s="527">
        <f>IF(ISNA(VLOOKUP($I207,Veg_Parameters!$A$3:$N$65,4,FALSE)),0,(VLOOKUP($I207,Veg_Parameters!$A$3:$N$65,4,FALSE)))</f>
        <v>0</v>
      </c>
      <c r="AL207" s="527">
        <f>AB207*(IF(ISNA(VLOOKUP($I207,Veg_Parameters!$A$3:$N$65,7,FALSE)),0, (VLOOKUP($I207,Veg_Parameters!$A$3:$N$65,7,FALSE))))</f>
        <v>0</v>
      </c>
      <c r="AM207" s="528">
        <f>IF(ISNA(VLOOKUP($I207,Veg_Parameters!$A$3:$N$65,6,FALSE)), 0, (VLOOKUP($I207,Veg_Parameters!$A$3:$N$65,6,FALSE)))</f>
        <v>0</v>
      </c>
      <c r="AN207" s="529">
        <f t="shared" si="287"/>
        <v>20</v>
      </c>
      <c r="AO207" s="529">
        <f t="shared" si="288"/>
        <v>0</v>
      </c>
      <c r="AP207" s="529">
        <f t="shared" si="289"/>
        <v>0</v>
      </c>
      <c r="AQ207" s="530">
        <f t="shared" si="305"/>
        <v>0</v>
      </c>
      <c r="AR207" s="527" t="s">
        <v>3</v>
      </c>
      <c r="AS207" s="527">
        <f>IF(ISNA(VLOOKUP($I207,Veg_Parameters!$A$3:$N$65,8,FALSE)), 0, (VLOOKUP($I207,Veg_Parameters!$A$3:$N$65,8,FALSE)))</f>
        <v>0</v>
      </c>
      <c r="AT207" s="527">
        <f>AB207*(IF(ISNA(VLOOKUP($I207,Veg_Parameters!$A$3:$N$65,9,FALSE)), 0, (VLOOKUP($I207,Veg_Parameters!$A$3:$N$65,9,FALSE))))</f>
        <v>0</v>
      </c>
      <c r="AU207" s="527">
        <f>IF(ISBLANK(A207),0,VLOOKUP($I207,Veg_Parameters!$A$4:$U$65,21,))</f>
        <v>0</v>
      </c>
      <c r="AV207" s="527">
        <f t="shared" si="306"/>
        <v>0</v>
      </c>
      <c r="AW207" s="529">
        <f t="shared" si="307"/>
        <v>0</v>
      </c>
      <c r="AX207" s="529">
        <f t="shared" si="308"/>
        <v>0</v>
      </c>
      <c r="AY207" s="529">
        <f t="shared" si="290"/>
        <v>0</v>
      </c>
      <c r="AZ207" s="529">
        <f t="shared" si="309"/>
        <v>0</v>
      </c>
      <c r="BA207" s="529">
        <f t="shared" si="310"/>
        <v>0</v>
      </c>
      <c r="BB207" s="529">
        <f t="shared" si="311"/>
        <v>0</v>
      </c>
      <c r="BC207" s="529">
        <f t="shared" si="291"/>
        <v>0</v>
      </c>
      <c r="BD207" s="531"/>
      <c r="BE207" s="527">
        <f>AH207*(IF(ISNA(VLOOKUP($N207,Veg_Parameters!$A$3:$N$65,5,FALSE)),0,(VLOOKUP($N207,Veg_Parameters!$A$3:$N$65,5,FALSE))))</f>
        <v>0</v>
      </c>
      <c r="BF207" s="527">
        <f>IF(ISNA(VLOOKUP($N207,Veg_Parameters!$A$3:$N$65,4,FALSE)),0,(VLOOKUP($N207,Veg_Parameters!$A$3:$N$65,4,FALSE)))</f>
        <v>0</v>
      </c>
      <c r="BG207" s="527">
        <f>AH207*(IF(ISNA(VLOOKUP($N207,Veg_Parameters!$A$3:$N$65,7,FALSE)),0, (VLOOKUP($N207,Veg_Parameters!$A$3:$N$65,7,FALSE))))</f>
        <v>0</v>
      </c>
      <c r="BH207" s="527">
        <f>IF(ISNA(VLOOKUP($N207,Veg_Parameters!$A$3:$N$65,6,FALSE)), 0, (VLOOKUP($N207,Veg_Parameters!$A$3:$N$65,6,FALSE)))</f>
        <v>0</v>
      </c>
      <c r="BI207" s="529">
        <f t="shared" si="292"/>
        <v>20</v>
      </c>
      <c r="BJ207" s="529">
        <f t="shared" si="312"/>
        <v>0</v>
      </c>
      <c r="BK207" s="529">
        <f t="shared" si="293"/>
        <v>0</v>
      </c>
      <c r="BL207" s="530">
        <f t="shared" si="313"/>
        <v>0</v>
      </c>
      <c r="BM207" s="527" t="s">
        <v>3</v>
      </c>
      <c r="BN207" s="527">
        <f>IF(ISNA(VLOOKUP(N207,Veg_Parameters!$A$3:$N$65,8,FALSE)), 0, (VLOOKUP($N207,Veg_Parameters!$A$3:$N$65,8,FALSE)))</f>
        <v>0</v>
      </c>
      <c r="BO207" s="527">
        <f>AH207*(IF(ISNA(VLOOKUP($N207,Veg_Parameters!$A$3:$N$65,9,FALSE)), 0, (VLOOKUP($N207,Veg_Parameters!$A$3:$N$65,9,FALSE))))</f>
        <v>0</v>
      </c>
      <c r="BP207" s="527" t="str">
        <f>IF(ISBLANK(N207),"0",VLOOKUP($N207,Veg_Parameters!$A$4:$U$65,21,))</f>
        <v>0</v>
      </c>
      <c r="BQ207" s="529">
        <f t="shared" si="314"/>
        <v>0</v>
      </c>
      <c r="BR207" s="529">
        <f t="shared" si="315"/>
        <v>0</v>
      </c>
      <c r="BS207" s="529">
        <f t="shared" si="294"/>
        <v>0</v>
      </c>
      <c r="BT207" s="529">
        <f t="shared" si="316"/>
        <v>0</v>
      </c>
      <c r="BU207" s="529">
        <f t="shared" si="317"/>
        <v>0</v>
      </c>
      <c r="BV207" s="529">
        <f t="shared" si="318"/>
        <v>0</v>
      </c>
      <c r="BW207" s="532" t="str">
        <f t="shared" si="295"/>
        <v/>
      </c>
      <c r="BX207" s="532" t="str">
        <f t="shared" si="296"/>
        <v/>
      </c>
      <c r="BY207" s="532" t="str">
        <f t="shared" si="297"/>
        <v/>
      </c>
      <c r="BZ207" s="532" t="str">
        <f t="shared" si="298"/>
        <v/>
      </c>
      <c r="CA207" s="532">
        <f t="shared" si="299"/>
        <v>0</v>
      </c>
      <c r="CB207" s="533"/>
      <c r="CC207" s="624">
        <f t="shared" si="300"/>
        <v>0</v>
      </c>
      <c r="CD207" s="534">
        <f t="shared" si="301"/>
        <v>0</v>
      </c>
      <c r="CE207" s="534">
        <f t="shared" si="302"/>
        <v>0</v>
      </c>
      <c r="CF207" s="534">
        <f t="shared" si="303"/>
        <v>0</v>
      </c>
      <c r="CG207" s="534"/>
      <c r="CH207" s="534"/>
      <c r="CI207" s="534">
        <f t="shared" si="319"/>
        <v>0</v>
      </c>
      <c r="CL207" s="534">
        <f>IF(ISNA(VLOOKUP(I207,Veg_Parameters!$A$3:$N$65,13,FALSE)),0,(VLOOKUP(I207,Veg_Parameters!$A$3:$N$65,13,FALSE)))</f>
        <v>0</v>
      </c>
      <c r="CM207" s="534">
        <f t="shared" si="320"/>
        <v>0</v>
      </c>
      <c r="CN207" s="534">
        <f>IF(ISNA(VLOOKUP(N207,Veg_Parameters!$A$3:$N$65,13,FALSE)),0,(VLOOKUP(N207,Veg_Parameters!$A$3:$N$65,13,FALSE)))</f>
        <v>0</v>
      </c>
      <c r="CO207" s="523">
        <f t="shared" si="321"/>
        <v>0</v>
      </c>
    </row>
    <row r="208" spans="1:93" x14ac:dyDescent="0.2">
      <c r="A208" s="227"/>
      <c r="B208" s="171" t="str">
        <f t="shared" si="322"/>
        <v/>
      </c>
      <c r="C208" s="230"/>
      <c r="D208" s="169"/>
      <c r="E208" s="165"/>
      <c r="F208" s="165"/>
      <c r="G208" s="165"/>
      <c r="H208" s="165"/>
      <c r="I208" s="168"/>
      <c r="J208" s="167"/>
      <c r="K208" s="168"/>
      <c r="L208" s="167"/>
      <c r="M208" s="167"/>
      <c r="N208" s="168"/>
      <c r="O208" s="168"/>
      <c r="P208" s="167"/>
      <c r="Q208" s="167"/>
      <c r="R208" s="167"/>
      <c r="S208" s="222" t="str">
        <f>IF(ISBLANK(A208),"",IF(ISNA(VLOOKUP(I208,Veg_Parameters!$A$3:$N$65,3,FALSE)),0,(VLOOKUP(I208,Veg_Parameters!$A$3:$N$65,3,FALSE))))</f>
        <v/>
      </c>
      <c r="T208" s="222" t="str">
        <f>IF(ISBLANK(N208),"",IF(ISNA(VLOOKUP(N208,Veg_Parameters!$A$3:$N$65,3,FALSE)),0,(VLOOKUP(N208,Veg_Parameters!$A$3:$N$65,3,FALSE))))</f>
        <v/>
      </c>
      <c r="U208" s="523">
        <f t="shared" si="304"/>
        <v>0</v>
      </c>
      <c r="V208" s="523">
        <f t="shared" si="280"/>
        <v>0</v>
      </c>
      <c r="W208" s="524">
        <f>IF(ISBLANK(A208),0,IF(ISNA(VLOOKUP($I208,Veg_Parameters!$A$3:$N$65,10,FALSE)),0,(VLOOKUP($I208,Veg_Parameters!$A$3:$N$65,10,FALSE))))</f>
        <v>0</v>
      </c>
      <c r="X208" s="524">
        <f>IF(ISBLANK(A208),0,IF(ISNA(VLOOKUP($I208,Veg_Parameters!$A$3:$N$65,11,FALSE)),0,(VLOOKUP($I208,Veg_Parameters!$A$3:$N$65,11,FALSE))))</f>
        <v>0</v>
      </c>
      <c r="Y208" s="524">
        <f>IF(ISBLANK(A208),0,IF(ISNA(VLOOKUP($I208,Veg_Parameters!$A$3:$N$65,12,FALSE)),0,(VLOOKUP($I208,Veg_Parameters!$A$3:$N$65,12,FALSE))))</f>
        <v>0</v>
      </c>
      <c r="Z208" s="525">
        <f t="shared" si="281"/>
        <v>0</v>
      </c>
      <c r="AA208" s="525">
        <f t="shared" si="282"/>
        <v>0</v>
      </c>
      <c r="AB208" s="525">
        <f t="shared" si="283"/>
        <v>0</v>
      </c>
      <c r="AC208" s="524">
        <f>IF(ISBLANK(N208),0,IF(ISNA(VLOOKUP($N208,Veg_Parameters!$A$3:$N$65,10,FALSE)),0,(VLOOKUP($N208,Veg_Parameters!$A$3:$N$65,10,FALSE))))</f>
        <v>0</v>
      </c>
      <c r="AD208" s="524">
        <f>IF(ISBLANK(N208),0,IF(ISNA(VLOOKUP($N208,Veg_Parameters!$A$3:$N$65,11,FALSE)),0,(VLOOKUP($N208,Veg_Parameters!$A$3:$N$65,11,FALSE))))</f>
        <v>0</v>
      </c>
      <c r="AE208" s="524">
        <f>IF(ISBLANK(N208), 0, IF(ISNA(VLOOKUP($N208,Veg_Parameters!$A$3:$N$65,12,FALSE)),0,(VLOOKUP($N208,Veg_Parameters!$A$3:$N$65,12,FALSE))))</f>
        <v>0</v>
      </c>
      <c r="AF208" s="523">
        <f t="shared" si="284"/>
        <v>0</v>
      </c>
      <c r="AG208" s="523">
        <f t="shared" si="285"/>
        <v>0</v>
      </c>
      <c r="AH208" s="523">
        <f t="shared" si="286"/>
        <v>0</v>
      </c>
      <c r="AI208" s="526"/>
      <c r="AJ208" s="527">
        <f>AB208*(IF(ISNA(VLOOKUP($I208,Veg_Parameters!$A$3:$N$65,5,FALSE)),0,(VLOOKUP($I208,Veg_Parameters!$A$3:$N$65,5,FALSE))))</f>
        <v>0</v>
      </c>
      <c r="AK208" s="527">
        <f>IF(ISNA(VLOOKUP($I208,Veg_Parameters!$A$3:$N$65,4,FALSE)),0,(VLOOKUP($I208,Veg_Parameters!$A$3:$N$65,4,FALSE)))</f>
        <v>0</v>
      </c>
      <c r="AL208" s="527">
        <f>AB208*(IF(ISNA(VLOOKUP($I208,Veg_Parameters!$A$3:$N$65,7,FALSE)),0, (VLOOKUP($I208,Veg_Parameters!$A$3:$N$65,7,FALSE))))</f>
        <v>0</v>
      </c>
      <c r="AM208" s="528">
        <f>IF(ISNA(VLOOKUP($I208,Veg_Parameters!$A$3:$N$65,6,FALSE)), 0, (VLOOKUP($I208,Veg_Parameters!$A$3:$N$65,6,FALSE)))</f>
        <v>0</v>
      </c>
      <c r="AN208" s="529">
        <f t="shared" si="287"/>
        <v>20</v>
      </c>
      <c r="AO208" s="529">
        <f t="shared" si="288"/>
        <v>0</v>
      </c>
      <c r="AP208" s="529">
        <f t="shared" si="289"/>
        <v>0</v>
      </c>
      <c r="AQ208" s="530">
        <f t="shared" si="305"/>
        <v>0</v>
      </c>
      <c r="AR208" s="527" t="s">
        <v>3</v>
      </c>
      <c r="AS208" s="527">
        <f>IF(ISNA(VLOOKUP($I208,Veg_Parameters!$A$3:$N$65,8,FALSE)), 0, (VLOOKUP($I208,Veg_Parameters!$A$3:$N$65,8,FALSE)))</f>
        <v>0</v>
      </c>
      <c r="AT208" s="527">
        <f>AB208*(IF(ISNA(VLOOKUP($I208,Veg_Parameters!$A$3:$N$65,9,FALSE)), 0, (VLOOKUP($I208,Veg_Parameters!$A$3:$N$65,9,FALSE))))</f>
        <v>0</v>
      </c>
      <c r="AU208" s="527">
        <f>IF(ISBLANK(A208),0,VLOOKUP($I208,Veg_Parameters!$A$4:$U$65,21,))</f>
        <v>0</v>
      </c>
      <c r="AV208" s="527">
        <f t="shared" si="306"/>
        <v>0</v>
      </c>
      <c r="AW208" s="529">
        <f t="shared" si="307"/>
        <v>0</v>
      </c>
      <c r="AX208" s="529">
        <f t="shared" si="308"/>
        <v>0</v>
      </c>
      <c r="AY208" s="529">
        <f t="shared" si="290"/>
        <v>0</v>
      </c>
      <c r="AZ208" s="529">
        <f t="shared" si="309"/>
        <v>0</v>
      </c>
      <c r="BA208" s="529">
        <f t="shared" si="310"/>
        <v>0</v>
      </c>
      <c r="BB208" s="529">
        <f t="shared" si="311"/>
        <v>0</v>
      </c>
      <c r="BC208" s="529">
        <f t="shared" si="291"/>
        <v>0</v>
      </c>
      <c r="BD208" s="531"/>
      <c r="BE208" s="527">
        <f>AH208*(IF(ISNA(VLOOKUP($N208,Veg_Parameters!$A$3:$N$65,5,FALSE)),0,(VLOOKUP($N208,Veg_Parameters!$A$3:$N$65,5,FALSE))))</f>
        <v>0</v>
      </c>
      <c r="BF208" s="527">
        <f>IF(ISNA(VLOOKUP($N208,Veg_Parameters!$A$3:$N$65,4,FALSE)),0,(VLOOKUP($N208,Veg_Parameters!$A$3:$N$65,4,FALSE)))</f>
        <v>0</v>
      </c>
      <c r="BG208" s="527">
        <f>AH208*(IF(ISNA(VLOOKUP($N208,Veg_Parameters!$A$3:$N$65,7,FALSE)),0, (VLOOKUP($N208,Veg_Parameters!$A$3:$N$65,7,FALSE))))</f>
        <v>0</v>
      </c>
      <c r="BH208" s="527">
        <f>IF(ISNA(VLOOKUP($N208,Veg_Parameters!$A$3:$N$65,6,FALSE)), 0, (VLOOKUP($N208,Veg_Parameters!$A$3:$N$65,6,FALSE)))</f>
        <v>0</v>
      </c>
      <c r="BI208" s="529">
        <f t="shared" si="292"/>
        <v>20</v>
      </c>
      <c r="BJ208" s="529">
        <f t="shared" si="312"/>
        <v>0</v>
      </c>
      <c r="BK208" s="529">
        <f t="shared" si="293"/>
        <v>0</v>
      </c>
      <c r="BL208" s="530">
        <f t="shared" si="313"/>
        <v>0</v>
      </c>
      <c r="BM208" s="527" t="s">
        <v>3</v>
      </c>
      <c r="BN208" s="527">
        <f>IF(ISNA(VLOOKUP(N208,Veg_Parameters!$A$3:$N$65,8,FALSE)), 0, (VLOOKUP($N208,Veg_Parameters!$A$3:$N$65,8,FALSE)))</f>
        <v>0</v>
      </c>
      <c r="BO208" s="527">
        <f>AH208*(IF(ISNA(VLOOKUP($N208,Veg_Parameters!$A$3:$N$65,9,FALSE)), 0, (VLOOKUP($N208,Veg_Parameters!$A$3:$N$65,9,FALSE))))</f>
        <v>0</v>
      </c>
      <c r="BP208" s="527" t="str">
        <f>IF(ISBLANK(N208),"0",VLOOKUP($N208,Veg_Parameters!$A$4:$U$65,21,))</f>
        <v>0</v>
      </c>
      <c r="BQ208" s="529">
        <f t="shared" si="314"/>
        <v>0</v>
      </c>
      <c r="BR208" s="529">
        <f t="shared" si="315"/>
        <v>0</v>
      </c>
      <c r="BS208" s="529">
        <f t="shared" si="294"/>
        <v>0</v>
      </c>
      <c r="BT208" s="529">
        <f t="shared" si="316"/>
        <v>0</v>
      </c>
      <c r="BU208" s="529">
        <f t="shared" si="317"/>
        <v>0</v>
      </c>
      <c r="BV208" s="529">
        <f t="shared" si="318"/>
        <v>0</v>
      </c>
      <c r="BW208" s="532" t="str">
        <f t="shared" si="295"/>
        <v/>
      </c>
      <c r="BX208" s="532" t="str">
        <f t="shared" si="296"/>
        <v/>
      </c>
      <c r="BY208" s="532" t="str">
        <f t="shared" si="297"/>
        <v/>
      </c>
      <c r="BZ208" s="532" t="str">
        <f t="shared" si="298"/>
        <v/>
      </c>
      <c r="CA208" s="532">
        <f t="shared" si="299"/>
        <v>0</v>
      </c>
      <c r="CB208" s="533"/>
      <c r="CC208" s="624">
        <f t="shared" si="300"/>
        <v>0</v>
      </c>
      <c r="CD208" s="534">
        <f t="shared" si="301"/>
        <v>0</v>
      </c>
      <c r="CE208" s="534">
        <f t="shared" si="302"/>
        <v>0</v>
      </c>
      <c r="CF208" s="534">
        <f t="shared" si="303"/>
        <v>0</v>
      </c>
      <c r="CG208" s="534"/>
      <c r="CH208" s="534"/>
      <c r="CI208" s="534">
        <f t="shared" si="319"/>
        <v>0</v>
      </c>
      <c r="CL208" s="534">
        <f>IF(ISNA(VLOOKUP(I208,Veg_Parameters!$A$3:$N$65,13,FALSE)),0,(VLOOKUP(I208,Veg_Parameters!$A$3:$N$65,13,FALSE)))</f>
        <v>0</v>
      </c>
      <c r="CM208" s="534">
        <f t="shared" si="320"/>
        <v>0</v>
      </c>
      <c r="CN208" s="534">
        <f>IF(ISNA(VLOOKUP(N208,Veg_Parameters!$A$3:$N$65,13,FALSE)),0,(VLOOKUP(N208,Veg_Parameters!$A$3:$N$65,13,FALSE)))</f>
        <v>0</v>
      </c>
      <c r="CO208" s="523">
        <f t="shared" si="321"/>
        <v>0</v>
      </c>
    </row>
    <row r="209" spans="1:93" x14ac:dyDescent="0.2">
      <c r="A209" s="227"/>
      <c r="B209" s="171" t="str">
        <f t="shared" si="322"/>
        <v/>
      </c>
      <c r="C209" s="230"/>
      <c r="D209" s="169"/>
      <c r="E209" s="165"/>
      <c r="F209" s="165"/>
      <c r="G209" s="165"/>
      <c r="H209" s="165"/>
      <c r="I209" s="168"/>
      <c r="J209" s="167"/>
      <c r="K209" s="168"/>
      <c r="L209" s="167"/>
      <c r="M209" s="167"/>
      <c r="N209" s="168"/>
      <c r="O209" s="168"/>
      <c r="P209" s="167"/>
      <c r="Q209" s="167"/>
      <c r="R209" s="167"/>
      <c r="S209" s="222" t="str">
        <f>IF(ISBLANK(A209),"",IF(ISNA(VLOOKUP(I209,Veg_Parameters!$A$3:$N$65,3,FALSE)),0,(VLOOKUP(I209,Veg_Parameters!$A$3:$N$65,3,FALSE))))</f>
        <v/>
      </c>
      <c r="T209" s="222" t="str">
        <f>IF(ISBLANK(N209),"",IF(ISNA(VLOOKUP(N209,Veg_Parameters!$A$3:$N$65,3,FALSE)),0,(VLOOKUP(N209,Veg_Parameters!$A$3:$N$65,3,FALSE))))</f>
        <v/>
      </c>
      <c r="U209" s="523">
        <f t="shared" si="304"/>
        <v>0</v>
      </c>
      <c r="V209" s="523">
        <f t="shared" si="280"/>
        <v>0</v>
      </c>
      <c r="W209" s="524">
        <f>IF(ISBLANK(A209),0,IF(ISNA(VLOOKUP($I209,Veg_Parameters!$A$3:$N$65,10,FALSE)),0,(VLOOKUP($I209,Veg_Parameters!$A$3:$N$65,10,FALSE))))</f>
        <v>0</v>
      </c>
      <c r="X209" s="524">
        <f>IF(ISBLANK(A209),0,IF(ISNA(VLOOKUP($I209,Veg_Parameters!$A$3:$N$65,11,FALSE)),0,(VLOOKUP($I209,Veg_Parameters!$A$3:$N$65,11,FALSE))))</f>
        <v>0</v>
      </c>
      <c r="Y209" s="524">
        <f>IF(ISBLANK(A209),0,IF(ISNA(VLOOKUP($I209,Veg_Parameters!$A$3:$N$65,12,FALSE)),0,(VLOOKUP($I209,Veg_Parameters!$A$3:$N$65,12,FALSE))))</f>
        <v>0</v>
      </c>
      <c r="Z209" s="525">
        <f t="shared" si="281"/>
        <v>0</v>
      </c>
      <c r="AA209" s="525">
        <f t="shared" si="282"/>
        <v>0</v>
      </c>
      <c r="AB209" s="525">
        <f t="shared" si="283"/>
        <v>0</v>
      </c>
      <c r="AC209" s="524">
        <f>IF(ISBLANK(N209),0,IF(ISNA(VLOOKUP($N209,Veg_Parameters!$A$3:$N$65,10,FALSE)),0,(VLOOKUP($N209,Veg_Parameters!$A$3:$N$65,10,FALSE))))</f>
        <v>0</v>
      </c>
      <c r="AD209" s="524">
        <f>IF(ISBLANK(N209),0,IF(ISNA(VLOOKUP($N209,Veg_Parameters!$A$3:$N$65,11,FALSE)),0,(VLOOKUP($N209,Veg_Parameters!$A$3:$N$65,11,FALSE))))</f>
        <v>0</v>
      </c>
      <c r="AE209" s="524">
        <f>IF(ISBLANK(N209), 0, IF(ISNA(VLOOKUP($N209,Veg_Parameters!$A$3:$N$65,12,FALSE)),0,(VLOOKUP($N209,Veg_Parameters!$A$3:$N$65,12,FALSE))))</f>
        <v>0</v>
      </c>
      <c r="AF209" s="523">
        <f t="shared" si="284"/>
        <v>0</v>
      </c>
      <c r="AG209" s="523">
        <f t="shared" si="285"/>
        <v>0</v>
      </c>
      <c r="AH209" s="523">
        <f t="shared" si="286"/>
        <v>0</v>
      </c>
      <c r="AI209" s="526"/>
      <c r="AJ209" s="527">
        <f>AB209*(IF(ISNA(VLOOKUP($I209,Veg_Parameters!$A$3:$N$65,5,FALSE)),0,(VLOOKUP($I209,Veg_Parameters!$A$3:$N$65,5,FALSE))))</f>
        <v>0</v>
      </c>
      <c r="AK209" s="527">
        <f>IF(ISNA(VLOOKUP($I209,Veg_Parameters!$A$3:$N$65,4,FALSE)),0,(VLOOKUP($I209,Veg_Parameters!$A$3:$N$65,4,FALSE)))</f>
        <v>0</v>
      </c>
      <c r="AL209" s="527">
        <f>AB209*(IF(ISNA(VLOOKUP($I209,Veg_Parameters!$A$3:$N$65,7,FALSE)),0, (VLOOKUP($I209,Veg_Parameters!$A$3:$N$65,7,FALSE))))</f>
        <v>0</v>
      </c>
      <c r="AM209" s="528">
        <f>IF(ISNA(VLOOKUP($I209,Veg_Parameters!$A$3:$N$65,6,FALSE)), 0, (VLOOKUP($I209,Veg_Parameters!$A$3:$N$65,6,FALSE)))</f>
        <v>0</v>
      </c>
      <c r="AN209" s="529">
        <f t="shared" si="287"/>
        <v>20</v>
      </c>
      <c r="AO209" s="529">
        <f t="shared" si="288"/>
        <v>0</v>
      </c>
      <c r="AP209" s="529">
        <f t="shared" si="289"/>
        <v>0</v>
      </c>
      <c r="AQ209" s="530">
        <f t="shared" si="305"/>
        <v>0</v>
      </c>
      <c r="AR209" s="527" t="s">
        <v>3</v>
      </c>
      <c r="AS209" s="527">
        <f>IF(ISNA(VLOOKUP($I209,Veg_Parameters!$A$3:$N$65,8,FALSE)), 0, (VLOOKUP($I209,Veg_Parameters!$A$3:$N$65,8,FALSE)))</f>
        <v>0</v>
      </c>
      <c r="AT209" s="527">
        <f>AB209*(IF(ISNA(VLOOKUP($I209,Veg_Parameters!$A$3:$N$65,9,FALSE)), 0, (VLOOKUP($I209,Veg_Parameters!$A$3:$N$65,9,FALSE))))</f>
        <v>0</v>
      </c>
      <c r="AU209" s="527">
        <f>IF(ISBLANK(A209),0,VLOOKUP($I209,Veg_Parameters!$A$4:$U$65,21,))</f>
        <v>0</v>
      </c>
      <c r="AV209" s="527">
        <f t="shared" si="306"/>
        <v>0</v>
      </c>
      <c r="AW209" s="529">
        <f t="shared" si="307"/>
        <v>0</v>
      </c>
      <c r="AX209" s="529">
        <f t="shared" si="308"/>
        <v>0</v>
      </c>
      <c r="AY209" s="529">
        <f t="shared" si="290"/>
        <v>0</v>
      </c>
      <c r="AZ209" s="529">
        <f t="shared" si="309"/>
        <v>0</v>
      </c>
      <c r="BA209" s="529">
        <f t="shared" si="310"/>
        <v>0</v>
      </c>
      <c r="BB209" s="529">
        <f t="shared" si="311"/>
        <v>0</v>
      </c>
      <c r="BC209" s="529">
        <f t="shared" si="291"/>
        <v>0</v>
      </c>
      <c r="BD209" s="531"/>
      <c r="BE209" s="527">
        <f>AH209*(IF(ISNA(VLOOKUP($N209,Veg_Parameters!$A$3:$N$65,5,FALSE)),0,(VLOOKUP($N209,Veg_Parameters!$A$3:$N$65,5,FALSE))))</f>
        <v>0</v>
      </c>
      <c r="BF209" s="527">
        <f>IF(ISNA(VLOOKUP($N209,Veg_Parameters!$A$3:$N$65,4,FALSE)),0,(VLOOKUP($N209,Veg_Parameters!$A$3:$N$65,4,FALSE)))</f>
        <v>0</v>
      </c>
      <c r="BG209" s="527">
        <f>AH209*(IF(ISNA(VLOOKUP($N209,Veg_Parameters!$A$3:$N$65,7,FALSE)),0, (VLOOKUP($N209,Veg_Parameters!$A$3:$N$65,7,FALSE))))</f>
        <v>0</v>
      </c>
      <c r="BH209" s="527">
        <f>IF(ISNA(VLOOKUP($N209,Veg_Parameters!$A$3:$N$65,6,FALSE)), 0, (VLOOKUP($N209,Veg_Parameters!$A$3:$N$65,6,FALSE)))</f>
        <v>0</v>
      </c>
      <c r="BI209" s="529">
        <f t="shared" si="292"/>
        <v>20</v>
      </c>
      <c r="BJ209" s="529">
        <f t="shared" si="312"/>
        <v>0</v>
      </c>
      <c r="BK209" s="529">
        <f t="shared" si="293"/>
        <v>0</v>
      </c>
      <c r="BL209" s="530">
        <f t="shared" si="313"/>
        <v>0</v>
      </c>
      <c r="BM209" s="527" t="s">
        <v>3</v>
      </c>
      <c r="BN209" s="527">
        <f>IF(ISNA(VLOOKUP(N209,Veg_Parameters!$A$3:$N$65,8,FALSE)), 0, (VLOOKUP($N209,Veg_Parameters!$A$3:$N$65,8,FALSE)))</f>
        <v>0</v>
      </c>
      <c r="BO209" s="527">
        <f>AH209*(IF(ISNA(VLOOKUP($N209,Veg_Parameters!$A$3:$N$65,9,FALSE)), 0, (VLOOKUP($N209,Veg_Parameters!$A$3:$N$65,9,FALSE))))</f>
        <v>0</v>
      </c>
      <c r="BP209" s="527" t="str">
        <f>IF(ISBLANK(N209),"0",VLOOKUP($N209,Veg_Parameters!$A$4:$U$65,21,))</f>
        <v>0</v>
      </c>
      <c r="BQ209" s="529">
        <f t="shared" si="314"/>
        <v>0</v>
      </c>
      <c r="BR209" s="529">
        <f t="shared" si="315"/>
        <v>0</v>
      </c>
      <c r="BS209" s="529">
        <f t="shared" si="294"/>
        <v>0</v>
      </c>
      <c r="BT209" s="529">
        <f t="shared" si="316"/>
        <v>0</v>
      </c>
      <c r="BU209" s="529">
        <f t="shared" si="317"/>
        <v>0</v>
      </c>
      <c r="BV209" s="529">
        <f t="shared" si="318"/>
        <v>0</v>
      </c>
      <c r="BW209" s="532" t="str">
        <f t="shared" si="295"/>
        <v/>
      </c>
      <c r="BX209" s="532" t="str">
        <f t="shared" si="296"/>
        <v/>
      </c>
      <c r="BY209" s="532" t="str">
        <f t="shared" si="297"/>
        <v/>
      </c>
      <c r="BZ209" s="532" t="str">
        <f t="shared" si="298"/>
        <v/>
      </c>
      <c r="CA209" s="532">
        <f t="shared" si="299"/>
        <v>0</v>
      </c>
      <c r="CB209" s="533"/>
      <c r="CC209" s="624">
        <f t="shared" si="300"/>
        <v>0</v>
      </c>
      <c r="CD209" s="534">
        <f t="shared" si="301"/>
        <v>0</v>
      </c>
      <c r="CE209" s="534">
        <f t="shared" si="302"/>
        <v>0</v>
      </c>
      <c r="CF209" s="534">
        <f t="shared" si="303"/>
        <v>0</v>
      </c>
      <c r="CG209" s="534"/>
      <c r="CH209" s="534"/>
      <c r="CI209" s="534">
        <f t="shared" si="319"/>
        <v>0</v>
      </c>
      <c r="CL209" s="534">
        <f>IF(ISNA(VLOOKUP(I209,Veg_Parameters!$A$3:$N$65,13,FALSE)),0,(VLOOKUP(I209,Veg_Parameters!$A$3:$N$65,13,FALSE)))</f>
        <v>0</v>
      </c>
      <c r="CM209" s="534">
        <f t="shared" si="320"/>
        <v>0</v>
      </c>
      <c r="CN209" s="534">
        <f>IF(ISNA(VLOOKUP(N209,Veg_Parameters!$A$3:$N$65,13,FALSE)),0,(VLOOKUP(N209,Veg_Parameters!$A$3:$N$65,13,FALSE)))</f>
        <v>0</v>
      </c>
      <c r="CO209" s="523">
        <f t="shared" si="321"/>
        <v>0</v>
      </c>
    </row>
    <row r="210" spans="1:93" x14ac:dyDescent="0.2">
      <c r="A210" s="227"/>
      <c r="B210" s="171" t="str">
        <f t="shared" si="322"/>
        <v/>
      </c>
      <c r="C210" s="230"/>
      <c r="D210" s="169"/>
      <c r="E210" s="165"/>
      <c r="F210" s="165"/>
      <c r="G210" s="165"/>
      <c r="H210" s="165"/>
      <c r="I210" s="168"/>
      <c r="J210" s="167"/>
      <c r="K210" s="168"/>
      <c r="L210" s="167"/>
      <c r="M210" s="167"/>
      <c r="N210" s="168"/>
      <c r="O210" s="168"/>
      <c r="P210" s="167"/>
      <c r="Q210" s="167"/>
      <c r="R210" s="167"/>
      <c r="S210" s="222" t="str">
        <f>IF(ISBLANK(A210),"",IF(ISNA(VLOOKUP(I210,Veg_Parameters!$A$3:$N$65,3,FALSE)),0,(VLOOKUP(I210,Veg_Parameters!$A$3:$N$65,3,FALSE))))</f>
        <v/>
      </c>
      <c r="T210" s="222" t="str">
        <f>IF(ISBLANK(N210),"",IF(ISNA(VLOOKUP(N210,Veg_Parameters!$A$3:$N$65,3,FALSE)),0,(VLOOKUP(N210,Veg_Parameters!$A$3:$N$65,3,FALSE))))</f>
        <v/>
      </c>
      <c r="U210" s="523">
        <f t="shared" si="304"/>
        <v>0</v>
      </c>
      <c r="V210" s="523">
        <f t="shared" si="280"/>
        <v>0</v>
      </c>
      <c r="W210" s="524">
        <f>IF(ISBLANK(A210),0,IF(ISNA(VLOOKUP($I210,Veg_Parameters!$A$3:$N$65,10,FALSE)),0,(VLOOKUP($I210,Veg_Parameters!$A$3:$N$65,10,FALSE))))</f>
        <v>0</v>
      </c>
      <c r="X210" s="524">
        <f>IF(ISBLANK(A210),0,IF(ISNA(VLOOKUP($I210,Veg_Parameters!$A$3:$N$65,11,FALSE)),0,(VLOOKUP($I210,Veg_Parameters!$A$3:$N$65,11,FALSE))))</f>
        <v>0</v>
      </c>
      <c r="Y210" s="524">
        <f>IF(ISBLANK(A210),0,IF(ISNA(VLOOKUP($I210,Veg_Parameters!$A$3:$N$65,12,FALSE)),0,(VLOOKUP($I210,Veg_Parameters!$A$3:$N$65,12,FALSE))))</f>
        <v>0</v>
      </c>
      <c r="Z210" s="525">
        <f t="shared" si="281"/>
        <v>0</v>
      </c>
      <c r="AA210" s="525">
        <f t="shared" si="282"/>
        <v>0</v>
      </c>
      <c r="AB210" s="525">
        <f t="shared" si="283"/>
        <v>0</v>
      </c>
      <c r="AC210" s="524">
        <f>IF(ISBLANK(N210),0,IF(ISNA(VLOOKUP($N210,Veg_Parameters!$A$3:$N$65,10,FALSE)),0,(VLOOKUP($N210,Veg_Parameters!$A$3:$N$65,10,FALSE))))</f>
        <v>0</v>
      </c>
      <c r="AD210" s="524">
        <f>IF(ISBLANK(N210),0,IF(ISNA(VLOOKUP($N210,Veg_Parameters!$A$3:$N$65,11,FALSE)),0,(VLOOKUP($N210,Veg_Parameters!$A$3:$N$65,11,FALSE))))</f>
        <v>0</v>
      </c>
      <c r="AE210" s="524">
        <f>IF(ISBLANK(N210), 0, IF(ISNA(VLOOKUP($N210,Veg_Parameters!$A$3:$N$65,12,FALSE)),0,(VLOOKUP($N210,Veg_Parameters!$A$3:$N$65,12,FALSE))))</f>
        <v>0</v>
      </c>
      <c r="AF210" s="523">
        <f t="shared" si="284"/>
        <v>0</v>
      </c>
      <c r="AG210" s="523">
        <f t="shared" si="285"/>
        <v>0</v>
      </c>
      <c r="AH210" s="523">
        <f t="shared" si="286"/>
        <v>0</v>
      </c>
      <c r="AI210" s="526"/>
      <c r="AJ210" s="527">
        <f>AB210*(IF(ISNA(VLOOKUP($I210,Veg_Parameters!$A$3:$N$65,5,FALSE)),0,(VLOOKUP($I210,Veg_Parameters!$A$3:$N$65,5,FALSE))))</f>
        <v>0</v>
      </c>
      <c r="AK210" s="527">
        <f>IF(ISNA(VLOOKUP($I210,Veg_Parameters!$A$3:$N$65,4,FALSE)),0,(VLOOKUP($I210,Veg_Parameters!$A$3:$N$65,4,FALSE)))</f>
        <v>0</v>
      </c>
      <c r="AL210" s="527">
        <f>AB210*(IF(ISNA(VLOOKUP($I210,Veg_Parameters!$A$3:$N$65,7,FALSE)),0, (VLOOKUP($I210,Veg_Parameters!$A$3:$N$65,7,FALSE))))</f>
        <v>0</v>
      </c>
      <c r="AM210" s="528">
        <f>IF(ISNA(VLOOKUP($I210,Veg_Parameters!$A$3:$N$65,6,FALSE)), 0, (VLOOKUP($I210,Veg_Parameters!$A$3:$N$65,6,FALSE)))</f>
        <v>0</v>
      </c>
      <c r="AN210" s="529">
        <f t="shared" si="287"/>
        <v>20</v>
      </c>
      <c r="AO210" s="529">
        <f t="shared" si="288"/>
        <v>0</v>
      </c>
      <c r="AP210" s="529">
        <f t="shared" si="289"/>
        <v>0</v>
      </c>
      <c r="AQ210" s="530">
        <f t="shared" si="305"/>
        <v>0</v>
      </c>
      <c r="AR210" s="527" t="s">
        <v>3</v>
      </c>
      <c r="AS210" s="527">
        <f>IF(ISNA(VLOOKUP($I210,Veg_Parameters!$A$3:$N$65,8,FALSE)), 0, (VLOOKUP($I210,Veg_Parameters!$A$3:$N$65,8,FALSE)))</f>
        <v>0</v>
      </c>
      <c r="AT210" s="527">
        <f>AB210*(IF(ISNA(VLOOKUP($I210,Veg_Parameters!$A$3:$N$65,9,FALSE)), 0, (VLOOKUP($I210,Veg_Parameters!$A$3:$N$65,9,FALSE))))</f>
        <v>0</v>
      </c>
      <c r="AU210" s="527">
        <f>IF(ISBLANK(A210),0,VLOOKUP($I210,Veg_Parameters!$A$4:$U$65,21,))</f>
        <v>0</v>
      </c>
      <c r="AV210" s="527">
        <f t="shared" si="306"/>
        <v>0</v>
      </c>
      <c r="AW210" s="529">
        <f t="shared" si="307"/>
        <v>0</v>
      </c>
      <c r="AX210" s="529">
        <f t="shared" si="308"/>
        <v>0</v>
      </c>
      <c r="AY210" s="529">
        <f t="shared" si="290"/>
        <v>0</v>
      </c>
      <c r="AZ210" s="529">
        <f t="shared" si="309"/>
        <v>0</v>
      </c>
      <c r="BA210" s="529">
        <f t="shared" si="310"/>
        <v>0</v>
      </c>
      <c r="BB210" s="529">
        <f t="shared" si="311"/>
        <v>0</v>
      </c>
      <c r="BC210" s="529">
        <f t="shared" si="291"/>
        <v>0</v>
      </c>
      <c r="BD210" s="531"/>
      <c r="BE210" s="527">
        <f>AH210*(IF(ISNA(VLOOKUP($N210,Veg_Parameters!$A$3:$N$65,5,FALSE)),0,(VLOOKUP($N210,Veg_Parameters!$A$3:$N$65,5,FALSE))))</f>
        <v>0</v>
      </c>
      <c r="BF210" s="527">
        <f>IF(ISNA(VLOOKUP($N210,Veg_Parameters!$A$3:$N$65,4,FALSE)),0,(VLOOKUP($N210,Veg_Parameters!$A$3:$N$65,4,FALSE)))</f>
        <v>0</v>
      </c>
      <c r="BG210" s="527">
        <f>AH210*(IF(ISNA(VLOOKUP($N210,Veg_Parameters!$A$3:$N$65,7,FALSE)),0, (VLOOKUP($N210,Veg_Parameters!$A$3:$N$65,7,FALSE))))</f>
        <v>0</v>
      </c>
      <c r="BH210" s="527">
        <f>IF(ISNA(VLOOKUP($N210,Veg_Parameters!$A$3:$N$65,6,FALSE)), 0, (VLOOKUP($N210,Veg_Parameters!$A$3:$N$65,6,FALSE)))</f>
        <v>0</v>
      </c>
      <c r="BI210" s="529">
        <f t="shared" si="292"/>
        <v>20</v>
      </c>
      <c r="BJ210" s="529">
        <f t="shared" si="312"/>
        <v>0</v>
      </c>
      <c r="BK210" s="529">
        <f t="shared" si="293"/>
        <v>0</v>
      </c>
      <c r="BL210" s="530">
        <f t="shared" si="313"/>
        <v>0</v>
      </c>
      <c r="BM210" s="527" t="s">
        <v>3</v>
      </c>
      <c r="BN210" s="527">
        <f>IF(ISNA(VLOOKUP(N210,Veg_Parameters!$A$3:$N$65,8,FALSE)), 0, (VLOOKUP($N210,Veg_Parameters!$A$3:$N$65,8,FALSE)))</f>
        <v>0</v>
      </c>
      <c r="BO210" s="527">
        <f>AH210*(IF(ISNA(VLOOKUP($N210,Veg_Parameters!$A$3:$N$65,9,FALSE)), 0, (VLOOKUP($N210,Veg_Parameters!$A$3:$N$65,9,FALSE))))</f>
        <v>0</v>
      </c>
      <c r="BP210" s="527" t="str">
        <f>IF(ISBLANK(N210),"0",VLOOKUP($N210,Veg_Parameters!$A$4:$U$65,21,))</f>
        <v>0</v>
      </c>
      <c r="BQ210" s="529">
        <f t="shared" si="314"/>
        <v>0</v>
      </c>
      <c r="BR210" s="529">
        <f t="shared" si="315"/>
        <v>0</v>
      </c>
      <c r="BS210" s="529">
        <f t="shared" si="294"/>
        <v>0</v>
      </c>
      <c r="BT210" s="529">
        <f t="shared" si="316"/>
        <v>0</v>
      </c>
      <c r="BU210" s="529">
        <f t="shared" si="317"/>
        <v>0</v>
      </c>
      <c r="BV210" s="529">
        <f t="shared" si="318"/>
        <v>0</v>
      </c>
      <c r="BW210" s="532" t="str">
        <f t="shared" si="295"/>
        <v/>
      </c>
      <c r="BX210" s="532" t="str">
        <f t="shared" si="296"/>
        <v/>
      </c>
      <c r="BY210" s="532" t="str">
        <f t="shared" si="297"/>
        <v/>
      </c>
      <c r="BZ210" s="532" t="str">
        <f t="shared" si="298"/>
        <v/>
      </c>
      <c r="CA210" s="532">
        <f t="shared" si="299"/>
        <v>0</v>
      </c>
      <c r="CB210" s="533"/>
      <c r="CC210" s="624">
        <f t="shared" si="300"/>
        <v>0</v>
      </c>
      <c r="CD210" s="534">
        <f t="shared" si="301"/>
        <v>0</v>
      </c>
      <c r="CE210" s="534">
        <f t="shared" si="302"/>
        <v>0</v>
      </c>
      <c r="CF210" s="534">
        <f t="shared" si="303"/>
        <v>0</v>
      </c>
      <c r="CG210" s="534"/>
      <c r="CH210" s="534"/>
      <c r="CI210" s="534">
        <f t="shared" si="319"/>
        <v>0</v>
      </c>
      <c r="CL210" s="534">
        <f>IF(ISNA(VLOOKUP(I210,Veg_Parameters!$A$3:$N$65,13,FALSE)),0,(VLOOKUP(I210,Veg_Parameters!$A$3:$N$65,13,FALSE)))</f>
        <v>0</v>
      </c>
      <c r="CM210" s="534">
        <f t="shared" si="320"/>
        <v>0</v>
      </c>
      <c r="CN210" s="534">
        <f>IF(ISNA(VLOOKUP(N210,Veg_Parameters!$A$3:$N$65,13,FALSE)),0,(VLOOKUP(N210,Veg_Parameters!$A$3:$N$65,13,FALSE)))</f>
        <v>0</v>
      </c>
      <c r="CO210" s="523">
        <f t="shared" si="321"/>
        <v>0</v>
      </c>
    </row>
    <row r="211" spans="1:93" x14ac:dyDescent="0.2">
      <c r="A211" s="227"/>
      <c r="B211" s="171" t="str">
        <f t="shared" si="322"/>
        <v/>
      </c>
      <c r="C211" s="230"/>
      <c r="D211" s="169"/>
      <c r="E211" s="165"/>
      <c r="F211" s="165"/>
      <c r="G211" s="165"/>
      <c r="H211" s="165"/>
      <c r="I211" s="168"/>
      <c r="J211" s="167"/>
      <c r="K211" s="168"/>
      <c r="L211" s="167"/>
      <c r="M211" s="167"/>
      <c r="N211" s="168"/>
      <c r="O211" s="168"/>
      <c r="P211" s="167"/>
      <c r="Q211" s="167"/>
      <c r="R211" s="167"/>
      <c r="S211" s="222" t="str">
        <f>IF(ISBLANK(A211),"",IF(ISNA(VLOOKUP(I211,Veg_Parameters!$A$3:$N$65,3,FALSE)),0,(VLOOKUP(I211,Veg_Parameters!$A$3:$N$65,3,FALSE))))</f>
        <v/>
      </c>
      <c r="T211" s="222" t="str">
        <f>IF(ISBLANK(N211),"",IF(ISNA(VLOOKUP(N211,Veg_Parameters!$A$3:$N$65,3,FALSE)),0,(VLOOKUP(N211,Veg_Parameters!$A$3:$N$65,3,FALSE))))</f>
        <v/>
      </c>
      <c r="U211" s="523">
        <f t="shared" si="304"/>
        <v>0</v>
      </c>
      <c r="V211" s="523">
        <f t="shared" si="280"/>
        <v>0</v>
      </c>
      <c r="W211" s="524">
        <f>IF(ISBLANK(A211),0,IF(ISNA(VLOOKUP($I211,Veg_Parameters!$A$3:$N$65,10,FALSE)),0,(VLOOKUP($I211,Veg_Parameters!$A$3:$N$65,10,FALSE))))</f>
        <v>0</v>
      </c>
      <c r="X211" s="524">
        <f>IF(ISBLANK(A211),0,IF(ISNA(VLOOKUP($I211,Veg_Parameters!$A$3:$N$65,11,FALSE)),0,(VLOOKUP($I211,Veg_Parameters!$A$3:$N$65,11,FALSE))))</f>
        <v>0</v>
      </c>
      <c r="Y211" s="524">
        <f>IF(ISBLANK(A211),0,IF(ISNA(VLOOKUP($I211,Veg_Parameters!$A$3:$N$65,12,FALSE)),0,(VLOOKUP($I211,Veg_Parameters!$A$3:$N$65,12,FALSE))))</f>
        <v>0</v>
      </c>
      <c r="Z211" s="525">
        <f t="shared" si="281"/>
        <v>0</v>
      </c>
      <c r="AA211" s="525">
        <f t="shared" si="282"/>
        <v>0</v>
      </c>
      <c r="AB211" s="525">
        <f t="shared" si="283"/>
        <v>0</v>
      </c>
      <c r="AC211" s="524">
        <f>IF(ISBLANK(N211),0,IF(ISNA(VLOOKUP($N211,Veg_Parameters!$A$3:$N$65,10,FALSE)),0,(VLOOKUP($N211,Veg_Parameters!$A$3:$N$65,10,FALSE))))</f>
        <v>0</v>
      </c>
      <c r="AD211" s="524">
        <f>IF(ISBLANK(N211),0,IF(ISNA(VLOOKUP($N211,Veg_Parameters!$A$3:$N$65,11,FALSE)),0,(VLOOKUP($N211,Veg_Parameters!$A$3:$N$65,11,FALSE))))</f>
        <v>0</v>
      </c>
      <c r="AE211" s="524">
        <f>IF(ISBLANK(N211), 0, IF(ISNA(VLOOKUP($N211,Veg_Parameters!$A$3:$N$65,12,FALSE)),0,(VLOOKUP($N211,Veg_Parameters!$A$3:$N$65,12,FALSE))))</f>
        <v>0</v>
      </c>
      <c r="AF211" s="523">
        <f t="shared" si="284"/>
        <v>0</v>
      </c>
      <c r="AG211" s="523">
        <f t="shared" si="285"/>
        <v>0</v>
      </c>
      <c r="AH211" s="523">
        <f t="shared" si="286"/>
        <v>0</v>
      </c>
      <c r="AI211" s="526"/>
      <c r="AJ211" s="527">
        <f>AB211*(IF(ISNA(VLOOKUP($I211,Veg_Parameters!$A$3:$N$65,5,FALSE)),0,(VLOOKUP($I211,Veg_Parameters!$A$3:$N$65,5,FALSE))))</f>
        <v>0</v>
      </c>
      <c r="AK211" s="527">
        <f>IF(ISNA(VLOOKUP($I211,Veg_Parameters!$A$3:$N$65,4,FALSE)),0,(VLOOKUP($I211,Veg_Parameters!$A$3:$N$65,4,FALSE)))</f>
        <v>0</v>
      </c>
      <c r="AL211" s="527">
        <f>AB211*(IF(ISNA(VLOOKUP($I211,Veg_Parameters!$A$3:$N$65,7,FALSE)),0, (VLOOKUP($I211,Veg_Parameters!$A$3:$N$65,7,FALSE))))</f>
        <v>0</v>
      </c>
      <c r="AM211" s="528">
        <f>IF(ISNA(VLOOKUP($I211,Veg_Parameters!$A$3:$N$65,6,FALSE)), 0, (VLOOKUP($I211,Veg_Parameters!$A$3:$N$65,6,FALSE)))</f>
        <v>0</v>
      </c>
      <c r="AN211" s="529">
        <f t="shared" si="287"/>
        <v>20</v>
      </c>
      <c r="AO211" s="529">
        <f t="shared" si="288"/>
        <v>0</v>
      </c>
      <c r="AP211" s="529">
        <f t="shared" si="289"/>
        <v>0</v>
      </c>
      <c r="AQ211" s="530">
        <f t="shared" si="305"/>
        <v>0</v>
      </c>
      <c r="AR211" s="527" t="s">
        <v>3</v>
      </c>
      <c r="AS211" s="527">
        <f>IF(ISNA(VLOOKUP($I211,Veg_Parameters!$A$3:$N$65,8,FALSE)), 0, (VLOOKUP($I211,Veg_Parameters!$A$3:$N$65,8,FALSE)))</f>
        <v>0</v>
      </c>
      <c r="AT211" s="527">
        <f>AB211*(IF(ISNA(VLOOKUP($I211,Veg_Parameters!$A$3:$N$65,9,FALSE)), 0, (VLOOKUP($I211,Veg_Parameters!$A$3:$N$65,9,FALSE))))</f>
        <v>0</v>
      </c>
      <c r="AU211" s="527">
        <f>IF(ISBLANK(A211),0,VLOOKUP($I211,Veg_Parameters!$A$4:$U$65,21,))</f>
        <v>0</v>
      </c>
      <c r="AV211" s="527">
        <f t="shared" si="306"/>
        <v>0</v>
      </c>
      <c r="AW211" s="529">
        <f t="shared" si="307"/>
        <v>0</v>
      </c>
      <c r="AX211" s="529">
        <f t="shared" si="308"/>
        <v>0</v>
      </c>
      <c r="AY211" s="529">
        <f t="shared" si="290"/>
        <v>0</v>
      </c>
      <c r="AZ211" s="529">
        <f t="shared" si="309"/>
        <v>0</v>
      </c>
      <c r="BA211" s="529">
        <f t="shared" si="310"/>
        <v>0</v>
      </c>
      <c r="BB211" s="529">
        <f t="shared" si="311"/>
        <v>0</v>
      </c>
      <c r="BC211" s="529">
        <f t="shared" si="291"/>
        <v>0</v>
      </c>
      <c r="BD211" s="531"/>
      <c r="BE211" s="527">
        <f>AH211*(IF(ISNA(VLOOKUP($N211,Veg_Parameters!$A$3:$N$65,5,FALSE)),0,(VLOOKUP($N211,Veg_Parameters!$A$3:$N$65,5,FALSE))))</f>
        <v>0</v>
      </c>
      <c r="BF211" s="527">
        <f>IF(ISNA(VLOOKUP($N211,Veg_Parameters!$A$3:$N$65,4,FALSE)),0,(VLOOKUP($N211,Veg_Parameters!$A$3:$N$65,4,FALSE)))</f>
        <v>0</v>
      </c>
      <c r="BG211" s="527">
        <f>AH211*(IF(ISNA(VLOOKUP($N211,Veg_Parameters!$A$3:$N$65,7,FALSE)),0, (VLOOKUP($N211,Veg_Parameters!$A$3:$N$65,7,FALSE))))</f>
        <v>0</v>
      </c>
      <c r="BH211" s="527">
        <f>IF(ISNA(VLOOKUP($N211,Veg_Parameters!$A$3:$N$65,6,FALSE)), 0, (VLOOKUP($N211,Veg_Parameters!$A$3:$N$65,6,FALSE)))</f>
        <v>0</v>
      </c>
      <c r="BI211" s="529">
        <f t="shared" si="292"/>
        <v>20</v>
      </c>
      <c r="BJ211" s="529">
        <f t="shared" si="312"/>
        <v>0</v>
      </c>
      <c r="BK211" s="529">
        <f t="shared" si="293"/>
        <v>0</v>
      </c>
      <c r="BL211" s="530">
        <f t="shared" si="313"/>
        <v>0</v>
      </c>
      <c r="BM211" s="527" t="s">
        <v>3</v>
      </c>
      <c r="BN211" s="527">
        <f>IF(ISNA(VLOOKUP(N211,Veg_Parameters!$A$3:$N$65,8,FALSE)), 0, (VLOOKUP($N211,Veg_Parameters!$A$3:$N$65,8,FALSE)))</f>
        <v>0</v>
      </c>
      <c r="BO211" s="527">
        <f>AH211*(IF(ISNA(VLOOKUP($N211,Veg_Parameters!$A$3:$N$65,9,FALSE)), 0, (VLOOKUP($N211,Veg_Parameters!$A$3:$N$65,9,FALSE))))</f>
        <v>0</v>
      </c>
      <c r="BP211" s="527" t="str">
        <f>IF(ISBLANK(N211),"0",VLOOKUP($N211,Veg_Parameters!$A$4:$U$65,21,))</f>
        <v>0</v>
      </c>
      <c r="BQ211" s="529">
        <f t="shared" si="314"/>
        <v>0</v>
      </c>
      <c r="BR211" s="529">
        <f t="shared" si="315"/>
        <v>0</v>
      </c>
      <c r="BS211" s="529">
        <f t="shared" si="294"/>
        <v>0</v>
      </c>
      <c r="BT211" s="529">
        <f t="shared" si="316"/>
        <v>0</v>
      </c>
      <c r="BU211" s="529">
        <f t="shared" si="317"/>
        <v>0</v>
      </c>
      <c r="BV211" s="529">
        <f t="shared" si="318"/>
        <v>0</v>
      </c>
      <c r="BW211" s="532" t="str">
        <f t="shared" si="295"/>
        <v/>
      </c>
      <c r="BX211" s="532" t="str">
        <f t="shared" si="296"/>
        <v/>
      </c>
      <c r="BY211" s="532" t="str">
        <f t="shared" si="297"/>
        <v/>
      </c>
      <c r="BZ211" s="532" t="str">
        <f t="shared" si="298"/>
        <v/>
      </c>
      <c r="CA211" s="532">
        <f t="shared" si="299"/>
        <v>0</v>
      </c>
      <c r="CB211" s="533"/>
      <c r="CC211" s="624">
        <f t="shared" si="300"/>
        <v>0</v>
      </c>
      <c r="CD211" s="534">
        <f t="shared" si="301"/>
        <v>0</v>
      </c>
      <c r="CE211" s="534">
        <f t="shared" si="302"/>
        <v>0</v>
      </c>
      <c r="CF211" s="534">
        <f t="shared" si="303"/>
        <v>0</v>
      </c>
      <c r="CG211" s="534"/>
      <c r="CH211" s="534"/>
      <c r="CI211" s="534">
        <f t="shared" si="319"/>
        <v>0</v>
      </c>
      <c r="CL211" s="534">
        <f>IF(ISNA(VLOOKUP(I211,Veg_Parameters!$A$3:$N$65,13,FALSE)),0,(VLOOKUP(I211,Veg_Parameters!$A$3:$N$65,13,FALSE)))</f>
        <v>0</v>
      </c>
      <c r="CM211" s="534">
        <f t="shared" si="320"/>
        <v>0</v>
      </c>
      <c r="CN211" s="534">
        <f>IF(ISNA(VLOOKUP(N211,Veg_Parameters!$A$3:$N$65,13,FALSE)),0,(VLOOKUP(N211,Veg_Parameters!$A$3:$N$65,13,FALSE)))</f>
        <v>0</v>
      </c>
      <c r="CO211" s="523">
        <f t="shared" si="321"/>
        <v>0</v>
      </c>
    </row>
    <row r="212" spans="1:93" x14ac:dyDescent="0.2">
      <c r="A212" s="227"/>
      <c r="B212" s="171" t="str">
        <f t="shared" si="322"/>
        <v/>
      </c>
      <c r="C212" s="230"/>
      <c r="D212" s="169"/>
      <c r="E212" s="165"/>
      <c r="F212" s="165"/>
      <c r="G212" s="165"/>
      <c r="H212" s="165"/>
      <c r="I212" s="168"/>
      <c r="J212" s="167"/>
      <c r="K212" s="168"/>
      <c r="L212" s="167"/>
      <c r="M212" s="167"/>
      <c r="N212" s="168"/>
      <c r="O212" s="168"/>
      <c r="P212" s="167"/>
      <c r="Q212" s="167"/>
      <c r="R212" s="167"/>
      <c r="S212" s="222" t="str">
        <f>IF(ISBLANK(A212),"",IF(ISNA(VLOOKUP(I212,Veg_Parameters!$A$3:$N$65,3,FALSE)),0,(VLOOKUP(I212,Veg_Parameters!$A$3:$N$65,3,FALSE))))</f>
        <v/>
      </c>
      <c r="T212" s="222" t="str">
        <f>IF(ISBLANK(N212),"",IF(ISNA(VLOOKUP(N212,Veg_Parameters!$A$3:$N$65,3,FALSE)),0,(VLOOKUP(N212,Veg_Parameters!$A$3:$N$65,3,FALSE))))</f>
        <v/>
      </c>
      <c r="U212" s="523">
        <f t="shared" si="304"/>
        <v>0</v>
      </c>
      <c r="V212" s="523">
        <f t="shared" si="280"/>
        <v>0</v>
      </c>
      <c r="W212" s="524">
        <f>IF(ISBLANK(A212),0,IF(ISNA(VLOOKUP($I212,Veg_Parameters!$A$3:$N$65,10,FALSE)),0,(VLOOKUP($I212,Veg_Parameters!$A$3:$N$65,10,FALSE))))</f>
        <v>0</v>
      </c>
      <c r="X212" s="524">
        <f>IF(ISBLANK(A212),0,IF(ISNA(VLOOKUP($I212,Veg_Parameters!$A$3:$N$65,11,FALSE)),0,(VLOOKUP($I212,Veg_Parameters!$A$3:$N$65,11,FALSE))))</f>
        <v>0</v>
      </c>
      <c r="Y212" s="524">
        <f>IF(ISBLANK(A212),0,IF(ISNA(VLOOKUP($I212,Veg_Parameters!$A$3:$N$65,12,FALSE)),0,(VLOOKUP($I212,Veg_Parameters!$A$3:$N$65,12,FALSE))))</f>
        <v>0</v>
      </c>
      <c r="Z212" s="525">
        <f t="shared" si="281"/>
        <v>0</v>
      </c>
      <c r="AA212" s="525">
        <f t="shared" si="282"/>
        <v>0</v>
      </c>
      <c r="AB212" s="525">
        <f t="shared" si="283"/>
        <v>0</v>
      </c>
      <c r="AC212" s="524">
        <f>IF(ISBLANK(N212),0,IF(ISNA(VLOOKUP($N212,Veg_Parameters!$A$3:$N$65,10,FALSE)),0,(VLOOKUP($N212,Veg_Parameters!$A$3:$N$65,10,FALSE))))</f>
        <v>0</v>
      </c>
      <c r="AD212" s="524">
        <f>IF(ISBLANK(N212),0,IF(ISNA(VLOOKUP($N212,Veg_Parameters!$A$3:$N$65,11,FALSE)),0,(VLOOKUP($N212,Veg_Parameters!$A$3:$N$65,11,FALSE))))</f>
        <v>0</v>
      </c>
      <c r="AE212" s="524">
        <f>IF(ISBLANK(N212), 0, IF(ISNA(VLOOKUP($N212,Veg_Parameters!$A$3:$N$65,12,FALSE)),0,(VLOOKUP($N212,Veg_Parameters!$A$3:$N$65,12,FALSE))))</f>
        <v>0</v>
      </c>
      <c r="AF212" s="523">
        <f t="shared" si="284"/>
        <v>0</v>
      </c>
      <c r="AG212" s="523">
        <f t="shared" si="285"/>
        <v>0</v>
      </c>
      <c r="AH212" s="523">
        <f t="shared" si="286"/>
        <v>0</v>
      </c>
      <c r="AI212" s="526"/>
      <c r="AJ212" s="527">
        <f>AB212*(IF(ISNA(VLOOKUP($I212,Veg_Parameters!$A$3:$N$65,5,FALSE)),0,(VLOOKUP($I212,Veg_Parameters!$A$3:$N$65,5,FALSE))))</f>
        <v>0</v>
      </c>
      <c r="AK212" s="527">
        <f>IF(ISNA(VLOOKUP($I212,Veg_Parameters!$A$3:$N$65,4,FALSE)),0,(VLOOKUP($I212,Veg_Parameters!$A$3:$N$65,4,FALSE)))</f>
        <v>0</v>
      </c>
      <c r="AL212" s="527">
        <f>AB212*(IF(ISNA(VLOOKUP($I212,Veg_Parameters!$A$3:$N$65,7,FALSE)),0, (VLOOKUP($I212,Veg_Parameters!$A$3:$N$65,7,FALSE))))</f>
        <v>0</v>
      </c>
      <c r="AM212" s="528">
        <f>IF(ISNA(VLOOKUP($I212,Veg_Parameters!$A$3:$N$65,6,FALSE)), 0, (VLOOKUP($I212,Veg_Parameters!$A$3:$N$65,6,FALSE)))</f>
        <v>0</v>
      </c>
      <c r="AN212" s="529">
        <f t="shared" si="287"/>
        <v>20</v>
      </c>
      <c r="AO212" s="529">
        <f t="shared" si="288"/>
        <v>0</v>
      </c>
      <c r="AP212" s="529">
        <f t="shared" si="289"/>
        <v>0</v>
      </c>
      <c r="AQ212" s="530">
        <f t="shared" si="305"/>
        <v>0</v>
      </c>
      <c r="AR212" s="527" t="s">
        <v>3</v>
      </c>
      <c r="AS212" s="527">
        <f>IF(ISNA(VLOOKUP($I212,Veg_Parameters!$A$3:$N$65,8,FALSE)), 0, (VLOOKUP($I212,Veg_Parameters!$A$3:$N$65,8,FALSE)))</f>
        <v>0</v>
      </c>
      <c r="AT212" s="527">
        <f>AB212*(IF(ISNA(VLOOKUP($I212,Veg_Parameters!$A$3:$N$65,9,FALSE)), 0, (VLOOKUP($I212,Veg_Parameters!$A$3:$N$65,9,FALSE))))</f>
        <v>0</v>
      </c>
      <c r="AU212" s="527">
        <f>IF(ISBLANK(A212),0,VLOOKUP($I212,Veg_Parameters!$A$4:$U$65,21,))</f>
        <v>0</v>
      </c>
      <c r="AV212" s="527">
        <f t="shared" si="306"/>
        <v>0</v>
      </c>
      <c r="AW212" s="529">
        <f t="shared" si="307"/>
        <v>0</v>
      </c>
      <c r="AX212" s="529">
        <f t="shared" si="308"/>
        <v>0</v>
      </c>
      <c r="AY212" s="529">
        <f t="shared" si="290"/>
        <v>0</v>
      </c>
      <c r="AZ212" s="529">
        <f t="shared" si="309"/>
        <v>0</v>
      </c>
      <c r="BA212" s="529">
        <f t="shared" si="310"/>
        <v>0</v>
      </c>
      <c r="BB212" s="529">
        <f t="shared" si="311"/>
        <v>0</v>
      </c>
      <c r="BC212" s="529">
        <f t="shared" si="291"/>
        <v>0</v>
      </c>
      <c r="BD212" s="531"/>
      <c r="BE212" s="527">
        <f>AH212*(IF(ISNA(VLOOKUP($N212,Veg_Parameters!$A$3:$N$65,5,FALSE)),0,(VLOOKUP($N212,Veg_Parameters!$A$3:$N$65,5,FALSE))))</f>
        <v>0</v>
      </c>
      <c r="BF212" s="527">
        <f>IF(ISNA(VLOOKUP($N212,Veg_Parameters!$A$3:$N$65,4,FALSE)),0,(VLOOKUP($N212,Veg_Parameters!$A$3:$N$65,4,FALSE)))</f>
        <v>0</v>
      </c>
      <c r="BG212" s="527">
        <f>AH212*(IF(ISNA(VLOOKUP($N212,Veg_Parameters!$A$3:$N$65,7,FALSE)),0, (VLOOKUP($N212,Veg_Parameters!$A$3:$N$65,7,FALSE))))</f>
        <v>0</v>
      </c>
      <c r="BH212" s="527">
        <f>IF(ISNA(VLOOKUP($N212,Veg_Parameters!$A$3:$N$65,6,FALSE)), 0, (VLOOKUP($N212,Veg_Parameters!$A$3:$N$65,6,FALSE)))</f>
        <v>0</v>
      </c>
      <c r="BI212" s="529">
        <f t="shared" si="292"/>
        <v>20</v>
      </c>
      <c r="BJ212" s="529">
        <f t="shared" si="312"/>
        <v>0</v>
      </c>
      <c r="BK212" s="529">
        <f t="shared" si="293"/>
        <v>0</v>
      </c>
      <c r="BL212" s="530">
        <f t="shared" si="313"/>
        <v>0</v>
      </c>
      <c r="BM212" s="527" t="s">
        <v>3</v>
      </c>
      <c r="BN212" s="527">
        <f>IF(ISNA(VLOOKUP(N212,Veg_Parameters!$A$3:$N$65,8,FALSE)), 0, (VLOOKUP($N212,Veg_Parameters!$A$3:$N$65,8,FALSE)))</f>
        <v>0</v>
      </c>
      <c r="BO212" s="527">
        <f>AH212*(IF(ISNA(VLOOKUP($N212,Veg_Parameters!$A$3:$N$65,9,FALSE)), 0, (VLOOKUP($N212,Veg_Parameters!$A$3:$N$65,9,FALSE))))</f>
        <v>0</v>
      </c>
      <c r="BP212" s="527" t="str">
        <f>IF(ISBLANK(N212),"0",VLOOKUP($N212,Veg_Parameters!$A$4:$U$65,21,))</f>
        <v>0</v>
      </c>
      <c r="BQ212" s="529">
        <f t="shared" si="314"/>
        <v>0</v>
      </c>
      <c r="BR212" s="529">
        <f t="shared" si="315"/>
        <v>0</v>
      </c>
      <c r="BS212" s="529">
        <f t="shared" si="294"/>
        <v>0</v>
      </c>
      <c r="BT212" s="529">
        <f t="shared" si="316"/>
        <v>0</v>
      </c>
      <c r="BU212" s="529">
        <f t="shared" si="317"/>
        <v>0</v>
      </c>
      <c r="BV212" s="529">
        <f t="shared" si="318"/>
        <v>0</v>
      </c>
      <c r="BW212" s="532" t="str">
        <f t="shared" si="295"/>
        <v/>
      </c>
      <c r="BX212" s="532" t="str">
        <f t="shared" si="296"/>
        <v/>
      </c>
      <c r="BY212" s="532" t="str">
        <f t="shared" si="297"/>
        <v/>
      </c>
      <c r="BZ212" s="532" t="str">
        <f t="shared" si="298"/>
        <v/>
      </c>
      <c r="CA212" s="532">
        <f t="shared" si="299"/>
        <v>0</v>
      </c>
      <c r="CB212" s="533"/>
      <c r="CC212" s="624">
        <f t="shared" si="300"/>
        <v>0</v>
      </c>
      <c r="CD212" s="534">
        <f t="shared" si="301"/>
        <v>0</v>
      </c>
      <c r="CE212" s="534">
        <f t="shared" si="302"/>
        <v>0</v>
      </c>
      <c r="CF212" s="534">
        <f t="shared" si="303"/>
        <v>0</v>
      </c>
      <c r="CG212" s="534"/>
      <c r="CH212" s="534"/>
      <c r="CI212" s="534">
        <f t="shared" si="319"/>
        <v>0</v>
      </c>
      <c r="CL212" s="534">
        <f>IF(ISNA(VLOOKUP(I212,Veg_Parameters!$A$3:$N$65,13,FALSE)),0,(VLOOKUP(I212,Veg_Parameters!$A$3:$N$65,13,FALSE)))</f>
        <v>0</v>
      </c>
      <c r="CM212" s="534">
        <f t="shared" si="320"/>
        <v>0</v>
      </c>
      <c r="CN212" s="534">
        <f>IF(ISNA(VLOOKUP(N212,Veg_Parameters!$A$3:$N$65,13,FALSE)),0,(VLOOKUP(N212,Veg_Parameters!$A$3:$N$65,13,FALSE)))</f>
        <v>0</v>
      </c>
      <c r="CO212" s="523">
        <f t="shared" si="321"/>
        <v>0</v>
      </c>
    </row>
    <row r="213" spans="1:93" x14ac:dyDescent="0.2">
      <c r="A213" s="227"/>
      <c r="B213" s="171" t="str">
        <f t="shared" si="322"/>
        <v/>
      </c>
      <c r="C213" s="230"/>
      <c r="D213" s="169"/>
      <c r="E213" s="165"/>
      <c r="F213" s="165"/>
      <c r="G213" s="165"/>
      <c r="H213" s="165"/>
      <c r="I213" s="168"/>
      <c r="J213" s="167"/>
      <c r="K213" s="168"/>
      <c r="L213" s="167"/>
      <c r="M213" s="167"/>
      <c r="N213" s="168"/>
      <c r="O213" s="168"/>
      <c r="P213" s="167"/>
      <c r="Q213" s="167"/>
      <c r="R213" s="167"/>
      <c r="S213" s="222" t="str">
        <f>IF(ISBLANK(A213),"",IF(ISNA(VLOOKUP(I213,Veg_Parameters!$A$3:$N$65,3,FALSE)),0,(VLOOKUP(I213,Veg_Parameters!$A$3:$N$65,3,FALSE))))</f>
        <v/>
      </c>
      <c r="T213" s="222" t="str">
        <f>IF(ISBLANK(N213),"",IF(ISNA(VLOOKUP(N213,Veg_Parameters!$A$3:$N$65,3,FALSE)),0,(VLOOKUP(N213,Veg_Parameters!$A$3:$N$65,3,FALSE))))</f>
        <v/>
      </c>
      <c r="U213" s="523">
        <f t="shared" si="304"/>
        <v>0</v>
      </c>
      <c r="V213" s="523">
        <f t="shared" si="280"/>
        <v>0</v>
      </c>
      <c r="W213" s="524">
        <f>IF(ISBLANK(A213),0,IF(ISNA(VLOOKUP($I213,Veg_Parameters!$A$3:$N$65,10,FALSE)),0,(VLOOKUP($I213,Veg_Parameters!$A$3:$N$65,10,FALSE))))</f>
        <v>0</v>
      </c>
      <c r="X213" s="524">
        <f>IF(ISBLANK(A213),0,IF(ISNA(VLOOKUP($I213,Veg_Parameters!$A$3:$N$65,11,FALSE)),0,(VLOOKUP($I213,Veg_Parameters!$A$3:$N$65,11,FALSE))))</f>
        <v>0</v>
      </c>
      <c r="Y213" s="524">
        <f>IF(ISBLANK(A213),0,IF(ISNA(VLOOKUP($I213,Veg_Parameters!$A$3:$N$65,12,FALSE)),0,(VLOOKUP($I213,Veg_Parameters!$A$3:$N$65,12,FALSE))))</f>
        <v>0</v>
      </c>
      <c r="Z213" s="525">
        <f t="shared" si="281"/>
        <v>0</v>
      </c>
      <c r="AA213" s="525">
        <f t="shared" si="282"/>
        <v>0</v>
      </c>
      <c r="AB213" s="525">
        <f t="shared" si="283"/>
        <v>0</v>
      </c>
      <c r="AC213" s="524">
        <f>IF(ISBLANK(N213),0,IF(ISNA(VLOOKUP($N213,Veg_Parameters!$A$3:$N$65,10,FALSE)),0,(VLOOKUP($N213,Veg_Parameters!$A$3:$N$65,10,FALSE))))</f>
        <v>0</v>
      </c>
      <c r="AD213" s="524">
        <f>IF(ISBLANK(N213),0,IF(ISNA(VLOOKUP($N213,Veg_Parameters!$A$3:$N$65,11,FALSE)),0,(VLOOKUP($N213,Veg_Parameters!$A$3:$N$65,11,FALSE))))</f>
        <v>0</v>
      </c>
      <c r="AE213" s="524">
        <f>IF(ISBLANK(N213), 0, IF(ISNA(VLOOKUP($N213,Veg_Parameters!$A$3:$N$65,12,FALSE)),0,(VLOOKUP($N213,Veg_Parameters!$A$3:$N$65,12,FALSE))))</f>
        <v>0</v>
      </c>
      <c r="AF213" s="523">
        <f t="shared" si="284"/>
        <v>0</v>
      </c>
      <c r="AG213" s="523">
        <f t="shared" si="285"/>
        <v>0</v>
      </c>
      <c r="AH213" s="523">
        <f t="shared" si="286"/>
        <v>0</v>
      </c>
      <c r="AI213" s="526"/>
      <c r="AJ213" s="527">
        <f>AB213*(IF(ISNA(VLOOKUP($I213,Veg_Parameters!$A$3:$N$65,5,FALSE)),0,(VLOOKUP($I213,Veg_Parameters!$A$3:$N$65,5,FALSE))))</f>
        <v>0</v>
      </c>
      <c r="AK213" s="527">
        <f>IF(ISNA(VLOOKUP($I213,Veg_Parameters!$A$3:$N$65,4,FALSE)),0,(VLOOKUP($I213,Veg_Parameters!$A$3:$N$65,4,FALSE)))</f>
        <v>0</v>
      </c>
      <c r="AL213" s="527">
        <f>AB213*(IF(ISNA(VLOOKUP($I213,Veg_Parameters!$A$3:$N$65,7,FALSE)),0, (VLOOKUP($I213,Veg_Parameters!$A$3:$N$65,7,FALSE))))</f>
        <v>0</v>
      </c>
      <c r="AM213" s="528">
        <f>IF(ISNA(VLOOKUP($I213,Veg_Parameters!$A$3:$N$65,6,FALSE)), 0, (VLOOKUP($I213,Veg_Parameters!$A$3:$N$65,6,FALSE)))</f>
        <v>0</v>
      </c>
      <c r="AN213" s="529">
        <f t="shared" si="287"/>
        <v>20</v>
      </c>
      <c r="AO213" s="529">
        <f t="shared" si="288"/>
        <v>0</v>
      </c>
      <c r="AP213" s="529">
        <f t="shared" si="289"/>
        <v>0</v>
      </c>
      <c r="AQ213" s="530">
        <f t="shared" si="305"/>
        <v>0</v>
      </c>
      <c r="AR213" s="527" t="s">
        <v>3</v>
      </c>
      <c r="AS213" s="527">
        <f>IF(ISNA(VLOOKUP($I213,Veg_Parameters!$A$3:$N$65,8,FALSE)), 0, (VLOOKUP($I213,Veg_Parameters!$A$3:$N$65,8,FALSE)))</f>
        <v>0</v>
      </c>
      <c r="AT213" s="527">
        <f>AB213*(IF(ISNA(VLOOKUP($I213,Veg_Parameters!$A$3:$N$65,9,FALSE)), 0, (VLOOKUP($I213,Veg_Parameters!$A$3:$N$65,9,FALSE))))</f>
        <v>0</v>
      </c>
      <c r="AU213" s="527">
        <f>IF(ISBLANK(A213),0,VLOOKUP($I213,Veg_Parameters!$A$4:$U$65,21,))</f>
        <v>0</v>
      </c>
      <c r="AV213" s="527">
        <f t="shared" si="306"/>
        <v>0</v>
      </c>
      <c r="AW213" s="529">
        <f t="shared" si="307"/>
        <v>0</v>
      </c>
      <c r="AX213" s="529">
        <f t="shared" si="308"/>
        <v>0</v>
      </c>
      <c r="AY213" s="529">
        <f t="shared" si="290"/>
        <v>0</v>
      </c>
      <c r="AZ213" s="529">
        <f t="shared" si="309"/>
        <v>0</v>
      </c>
      <c r="BA213" s="529">
        <f t="shared" si="310"/>
        <v>0</v>
      </c>
      <c r="BB213" s="529">
        <f t="shared" si="311"/>
        <v>0</v>
      </c>
      <c r="BC213" s="529">
        <f t="shared" si="291"/>
        <v>0</v>
      </c>
      <c r="BD213" s="531"/>
      <c r="BE213" s="527">
        <f>AH213*(IF(ISNA(VLOOKUP($N213,Veg_Parameters!$A$3:$N$65,5,FALSE)),0,(VLOOKUP($N213,Veg_Parameters!$A$3:$N$65,5,FALSE))))</f>
        <v>0</v>
      </c>
      <c r="BF213" s="527">
        <f>IF(ISNA(VLOOKUP($N213,Veg_Parameters!$A$3:$N$65,4,FALSE)),0,(VLOOKUP($N213,Veg_Parameters!$A$3:$N$65,4,FALSE)))</f>
        <v>0</v>
      </c>
      <c r="BG213" s="527">
        <f>AH213*(IF(ISNA(VLOOKUP($N213,Veg_Parameters!$A$3:$N$65,7,FALSE)),0, (VLOOKUP($N213,Veg_Parameters!$A$3:$N$65,7,FALSE))))</f>
        <v>0</v>
      </c>
      <c r="BH213" s="527">
        <f>IF(ISNA(VLOOKUP($N213,Veg_Parameters!$A$3:$N$65,6,FALSE)), 0, (VLOOKUP($N213,Veg_Parameters!$A$3:$N$65,6,FALSE)))</f>
        <v>0</v>
      </c>
      <c r="BI213" s="529">
        <f t="shared" si="292"/>
        <v>20</v>
      </c>
      <c r="BJ213" s="529">
        <f t="shared" si="312"/>
        <v>0</v>
      </c>
      <c r="BK213" s="529">
        <f t="shared" si="293"/>
        <v>0</v>
      </c>
      <c r="BL213" s="530">
        <f t="shared" si="313"/>
        <v>0</v>
      </c>
      <c r="BM213" s="527" t="s">
        <v>3</v>
      </c>
      <c r="BN213" s="527">
        <f>IF(ISNA(VLOOKUP(N213,Veg_Parameters!$A$3:$N$65,8,FALSE)), 0, (VLOOKUP($N213,Veg_Parameters!$A$3:$N$65,8,FALSE)))</f>
        <v>0</v>
      </c>
      <c r="BO213" s="527">
        <f>AH213*(IF(ISNA(VLOOKUP($N213,Veg_Parameters!$A$3:$N$65,9,FALSE)), 0, (VLOOKUP($N213,Veg_Parameters!$A$3:$N$65,9,FALSE))))</f>
        <v>0</v>
      </c>
      <c r="BP213" s="527" t="str">
        <f>IF(ISBLANK(N213),"0",VLOOKUP($N213,Veg_Parameters!$A$4:$U$65,21,))</f>
        <v>0</v>
      </c>
      <c r="BQ213" s="529">
        <f t="shared" si="314"/>
        <v>0</v>
      </c>
      <c r="BR213" s="529">
        <f t="shared" si="315"/>
        <v>0</v>
      </c>
      <c r="BS213" s="529">
        <f t="shared" si="294"/>
        <v>0</v>
      </c>
      <c r="BT213" s="529">
        <f t="shared" si="316"/>
        <v>0</v>
      </c>
      <c r="BU213" s="529">
        <f t="shared" si="317"/>
        <v>0</v>
      </c>
      <c r="BV213" s="529">
        <f t="shared" si="318"/>
        <v>0</v>
      </c>
      <c r="BW213" s="532" t="str">
        <f t="shared" si="295"/>
        <v/>
      </c>
      <c r="BX213" s="532" t="str">
        <f t="shared" si="296"/>
        <v/>
      </c>
      <c r="BY213" s="532" t="str">
        <f t="shared" si="297"/>
        <v/>
      </c>
      <c r="BZ213" s="532" t="str">
        <f t="shared" si="298"/>
        <v/>
      </c>
      <c r="CA213" s="532">
        <f t="shared" si="299"/>
        <v>0</v>
      </c>
      <c r="CB213" s="533"/>
      <c r="CC213" s="624">
        <f t="shared" si="300"/>
        <v>0</v>
      </c>
      <c r="CD213" s="534">
        <f t="shared" si="301"/>
        <v>0</v>
      </c>
      <c r="CE213" s="534">
        <f t="shared" si="302"/>
        <v>0</v>
      </c>
      <c r="CF213" s="534">
        <f t="shared" si="303"/>
        <v>0</v>
      </c>
      <c r="CG213" s="534"/>
      <c r="CH213" s="534"/>
      <c r="CI213" s="534">
        <f t="shared" si="319"/>
        <v>0</v>
      </c>
      <c r="CL213" s="534">
        <f>IF(ISNA(VLOOKUP(I213,Veg_Parameters!$A$3:$N$65,13,FALSE)),0,(VLOOKUP(I213,Veg_Parameters!$A$3:$N$65,13,FALSE)))</f>
        <v>0</v>
      </c>
      <c r="CM213" s="534">
        <f t="shared" si="320"/>
        <v>0</v>
      </c>
      <c r="CN213" s="534">
        <f>IF(ISNA(VLOOKUP(N213,Veg_Parameters!$A$3:$N$65,13,FALSE)),0,(VLOOKUP(N213,Veg_Parameters!$A$3:$N$65,13,FALSE)))</f>
        <v>0</v>
      </c>
      <c r="CO213" s="523">
        <f t="shared" si="321"/>
        <v>0</v>
      </c>
    </row>
    <row r="214" spans="1:93" x14ac:dyDescent="0.2">
      <c r="A214" s="227"/>
      <c r="B214" s="171" t="str">
        <f t="shared" si="322"/>
        <v/>
      </c>
      <c r="C214" s="230"/>
      <c r="D214" s="169"/>
      <c r="E214" s="165"/>
      <c r="F214" s="165"/>
      <c r="G214" s="165"/>
      <c r="H214" s="165"/>
      <c r="I214" s="168"/>
      <c r="J214" s="167"/>
      <c r="K214" s="168"/>
      <c r="L214" s="167"/>
      <c r="M214" s="167"/>
      <c r="N214" s="168"/>
      <c r="O214" s="168"/>
      <c r="P214" s="167"/>
      <c r="Q214" s="167"/>
      <c r="R214" s="167"/>
      <c r="S214" s="222" t="str">
        <f>IF(ISBLANK(A214),"",IF(ISNA(VLOOKUP(I214,Veg_Parameters!$A$3:$N$65,3,FALSE)),0,(VLOOKUP(I214,Veg_Parameters!$A$3:$N$65,3,FALSE))))</f>
        <v/>
      </c>
      <c r="T214" s="222" t="str">
        <f>IF(ISBLANK(N214),"",IF(ISNA(VLOOKUP(N214,Veg_Parameters!$A$3:$N$65,3,FALSE)),0,(VLOOKUP(N214,Veg_Parameters!$A$3:$N$65,3,FALSE))))</f>
        <v/>
      </c>
      <c r="U214" s="523">
        <f t="shared" si="304"/>
        <v>0</v>
      </c>
      <c r="V214" s="523">
        <f t="shared" si="280"/>
        <v>0</v>
      </c>
      <c r="W214" s="524">
        <f>IF(ISBLANK(A214),0,IF(ISNA(VLOOKUP($I214,Veg_Parameters!$A$3:$N$65,10,FALSE)),0,(VLOOKUP($I214,Veg_Parameters!$A$3:$N$65,10,FALSE))))</f>
        <v>0</v>
      </c>
      <c r="X214" s="524">
        <f>IF(ISBLANK(A214),0,IF(ISNA(VLOOKUP($I214,Veg_Parameters!$A$3:$N$65,11,FALSE)),0,(VLOOKUP($I214,Veg_Parameters!$A$3:$N$65,11,FALSE))))</f>
        <v>0</v>
      </c>
      <c r="Y214" s="524">
        <f>IF(ISBLANK(A214),0,IF(ISNA(VLOOKUP($I214,Veg_Parameters!$A$3:$N$65,12,FALSE)),0,(VLOOKUP($I214,Veg_Parameters!$A$3:$N$65,12,FALSE))))</f>
        <v>0</v>
      </c>
      <c r="Z214" s="525">
        <f t="shared" si="281"/>
        <v>0</v>
      </c>
      <c r="AA214" s="525">
        <f t="shared" si="282"/>
        <v>0</v>
      </c>
      <c r="AB214" s="525">
        <f t="shared" si="283"/>
        <v>0</v>
      </c>
      <c r="AC214" s="524">
        <f>IF(ISBLANK(N214),0,IF(ISNA(VLOOKUP($N214,Veg_Parameters!$A$3:$N$65,10,FALSE)),0,(VLOOKUP($N214,Veg_Parameters!$A$3:$N$65,10,FALSE))))</f>
        <v>0</v>
      </c>
      <c r="AD214" s="524">
        <f>IF(ISBLANK(N214),0,IF(ISNA(VLOOKUP($N214,Veg_Parameters!$A$3:$N$65,11,FALSE)),0,(VLOOKUP($N214,Veg_Parameters!$A$3:$N$65,11,FALSE))))</f>
        <v>0</v>
      </c>
      <c r="AE214" s="524">
        <f>IF(ISBLANK(N214), 0, IF(ISNA(VLOOKUP($N214,Veg_Parameters!$A$3:$N$65,12,FALSE)),0,(VLOOKUP($N214,Veg_Parameters!$A$3:$N$65,12,FALSE))))</f>
        <v>0</v>
      </c>
      <c r="AF214" s="523">
        <f t="shared" si="284"/>
        <v>0</v>
      </c>
      <c r="AG214" s="523">
        <f t="shared" si="285"/>
        <v>0</v>
      </c>
      <c r="AH214" s="523">
        <f t="shared" si="286"/>
        <v>0</v>
      </c>
      <c r="AI214" s="526"/>
      <c r="AJ214" s="527">
        <f>AB214*(IF(ISNA(VLOOKUP($I214,Veg_Parameters!$A$3:$N$65,5,FALSE)),0,(VLOOKUP($I214,Veg_Parameters!$A$3:$N$65,5,FALSE))))</f>
        <v>0</v>
      </c>
      <c r="AK214" s="527">
        <f>IF(ISNA(VLOOKUP($I214,Veg_Parameters!$A$3:$N$65,4,FALSE)),0,(VLOOKUP($I214,Veg_Parameters!$A$3:$N$65,4,FALSE)))</f>
        <v>0</v>
      </c>
      <c r="AL214" s="527">
        <f>AB214*(IF(ISNA(VLOOKUP($I214,Veg_Parameters!$A$3:$N$65,7,FALSE)),0, (VLOOKUP($I214,Veg_Parameters!$A$3:$N$65,7,FALSE))))</f>
        <v>0</v>
      </c>
      <c r="AM214" s="528">
        <f>IF(ISNA(VLOOKUP($I214,Veg_Parameters!$A$3:$N$65,6,FALSE)), 0, (VLOOKUP($I214,Veg_Parameters!$A$3:$N$65,6,FALSE)))</f>
        <v>0</v>
      </c>
      <c r="AN214" s="529">
        <f t="shared" si="287"/>
        <v>20</v>
      </c>
      <c r="AO214" s="529">
        <f t="shared" si="288"/>
        <v>0</v>
      </c>
      <c r="AP214" s="529">
        <f t="shared" si="289"/>
        <v>0</v>
      </c>
      <c r="AQ214" s="530">
        <f t="shared" si="305"/>
        <v>0</v>
      </c>
      <c r="AR214" s="527" t="s">
        <v>3</v>
      </c>
      <c r="AS214" s="527">
        <f>IF(ISNA(VLOOKUP($I214,Veg_Parameters!$A$3:$N$65,8,FALSE)), 0, (VLOOKUP($I214,Veg_Parameters!$A$3:$N$65,8,FALSE)))</f>
        <v>0</v>
      </c>
      <c r="AT214" s="527">
        <f>AB214*(IF(ISNA(VLOOKUP($I214,Veg_Parameters!$A$3:$N$65,9,FALSE)), 0, (VLOOKUP($I214,Veg_Parameters!$A$3:$N$65,9,FALSE))))</f>
        <v>0</v>
      </c>
      <c r="AU214" s="527">
        <f>IF(ISBLANK(A214),0,VLOOKUP($I214,Veg_Parameters!$A$4:$U$65,21,))</f>
        <v>0</v>
      </c>
      <c r="AV214" s="527">
        <f t="shared" si="306"/>
        <v>0</v>
      </c>
      <c r="AW214" s="529">
        <f t="shared" si="307"/>
        <v>0</v>
      </c>
      <c r="AX214" s="529">
        <f t="shared" si="308"/>
        <v>0</v>
      </c>
      <c r="AY214" s="529">
        <f t="shared" si="290"/>
        <v>0</v>
      </c>
      <c r="AZ214" s="529">
        <f t="shared" si="309"/>
        <v>0</v>
      </c>
      <c r="BA214" s="529">
        <f t="shared" si="310"/>
        <v>0</v>
      </c>
      <c r="BB214" s="529">
        <f t="shared" si="311"/>
        <v>0</v>
      </c>
      <c r="BC214" s="529">
        <f t="shared" si="291"/>
        <v>0</v>
      </c>
      <c r="BD214" s="531"/>
      <c r="BE214" s="527">
        <f>AH214*(IF(ISNA(VLOOKUP($N214,Veg_Parameters!$A$3:$N$65,5,FALSE)),0,(VLOOKUP($N214,Veg_Parameters!$A$3:$N$65,5,FALSE))))</f>
        <v>0</v>
      </c>
      <c r="BF214" s="527">
        <f>IF(ISNA(VLOOKUP($N214,Veg_Parameters!$A$3:$N$65,4,FALSE)),0,(VLOOKUP($N214,Veg_Parameters!$A$3:$N$65,4,FALSE)))</f>
        <v>0</v>
      </c>
      <c r="BG214" s="527">
        <f>AH214*(IF(ISNA(VLOOKUP($N214,Veg_Parameters!$A$3:$N$65,7,FALSE)),0, (VLOOKUP($N214,Veg_Parameters!$A$3:$N$65,7,FALSE))))</f>
        <v>0</v>
      </c>
      <c r="BH214" s="527">
        <f>IF(ISNA(VLOOKUP($N214,Veg_Parameters!$A$3:$N$65,6,FALSE)), 0, (VLOOKUP($N214,Veg_Parameters!$A$3:$N$65,6,FALSE)))</f>
        <v>0</v>
      </c>
      <c r="BI214" s="529">
        <f t="shared" si="292"/>
        <v>20</v>
      </c>
      <c r="BJ214" s="529">
        <f t="shared" si="312"/>
        <v>0</v>
      </c>
      <c r="BK214" s="529">
        <f t="shared" si="293"/>
        <v>0</v>
      </c>
      <c r="BL214" s="530">
        <f t="shared" si="313"/>
        <v>0</v>
      </c>
      <c r="BM214" s="527" t="s">
        <v>3</v>
      </c>
      <c r="BN214" s="527">
        <f>IF(ISNA(VLOOKUP(N214,Veg_Parameters!$A$3:$N$65,8,FALSE)), 0, (VLOOKUP($N214,Veg_Parameters!$A$3:$N$65,8,FALSE)))</f>
        <v>0</v>
      </c>
      <c r="BO214" s="527">
        <f>AH214*(IF(ISNA(VLOOKUP($N214,Veg_Parameters!$A$3:$N$65,9,FALSE)), 0, (VLOOKUP($N214,Veg_Parameters!$A$3:$N$65,9,FALSE))))</f>
        <v>0</v>
      </c>
      <c r="BP214" s="527" t="str">
        <f>IF(ISBLANK(N214),"0",VLOOKUP($N214,Veg_Parameters!$A$4:$U$65,21,))</f>
        <v>0</v>
      </c>
      <c r="BQ214" s="529">
        <f t="shared" si="314"/>
        <v>0</v>
      </c>
      <c r="BR214" s="529">
        <f t="shared" si="315"/>
        <v>0</v>
      </c>
      <c r="BS214" s="529">
        <f t="shared" si="294"/>
        <v>0</v>
      </c>
      <c r="BT214" s="529">
        <f t="shared" si="316"/>
        <v>0</v>
      </c>
      <c r="BU214" s="529">
        <f t="shared" si="317"/>
        <v>0</v>
      </c>
      <c r="BV214" s="529">
        <f t="shared" si="318"/>
        <v>0</v>
      </c>
      <c r="BW214" s="532" t="str">
        <f t="shared" si="295"/>
        <v/>
      </c>
      <c r="BX214" s="532" t="str">
        <f t="shared" si="296"/>
        <v/>
      </c>
      <c r="BY214" s="532" t="str">
        <f t="shared" si="297"/>
        <v/>
      </c>
      <c r="BZ214" s="532" t="str">
        <f t="shared" si="298"/>
        <v/>
      </c>
      <c r="CA214" s="532">
        <f t="shared" si="299"/>
        <v>0</v>
      </c>
      <c r="CB214" s="533"/>
      <c r="CC214" s="624">
        <f t="shared" si="300"/>
        <v>0</v>
      </c>
      <c r="CD214" s="534">
        <f t="shared" si="301"/>
        <v>0</v>
      </c>
      <c r="CE214" s="534">
        <f t="shared" si="302"/>
        <v>0</v>
      </c>
      <c r="CF214" s="534">
        <f t="shared" si="303"/>
        <v>0</v>
      </c>
      <c r="CG214" s="534"/>
      <c r="CH214" s="534"/>
      <c r="CI214" s="534">
        <f t="shared" si="319"/>
        <v>0</v>
      </c>
      <c r="CL214" s="534">
        <f>IF(ISNA(VLOOKUP(I214,Veg_Parameters!$A$3:$N$65,13,FALSE)),0,(VLOOKUP(I214,Veg_Parameters!$A$3:$N$65,13,FALSE)))</f>
        <v>0</v>
      </c>
      <c r="CM214" s="534">
        <f t="shared" si="320"/>
        <v>0</v>
      </c>
      <c r="CN214" s="534">
        <f>IF(ISNA(VLOOKUP(N214,Veg_Parameters!$A$3:$N$65,13,FALSE)),0,(VLOOKUP(N214,Veg_Parameters!$A$3:$N$65,13,FALSE)))</f>
        <v>0</v>
      </c>
      <c r="CO214" s="523">
        <f t="shared" si="321"/>
        <v>0</v>
      </c>
    </row>
    <row r="215" spans="1:93" x14ac:dyDescent="0.2">
      <c r="A215" s="227"/>
      <c r="B215" s="171" t="str">
        <f t="shared" si="322"/>
        <v/>
      </c>
      <c r="C215" s="230"/>
      <c r="D215" s="169"/>
      <c r="E215" s="165"/>
      <c r="F215" s="165"/>
      <c r="G215" s="165"/>
      <c r="H215" s="165"/>
      <c r="I215" s="168"/>
      <c r="J215" s="167"/>
      <c r="K215" s="168"/>
      <c r="L215" s="167"/>
      <c r="M215" s="167"/>
      <c r="N215" s="168"/>
      <c r="O215" s="168"/>
      <c r="P215" s="167"/>
      <c r="Q215" s="167"/>
      <c r="R215" s="167"/>
      <c r="S215" s="222" t="str">
        <f>IF(ISBLANK(A215),"",IF(ISNA(VLOOKUP(I215,Veg_Parameters!$A$3:$N$65,3,FALSE)),0,(VLOOKUP(I215,Veg_Parameters!$A$3:$N$65,3,FALSE))))</f>
        <v/>
      </c>
      <c r="T215" s="222" t="str">
        <f>IF(ISBLANK(N215),"",IF(ISNA(VLOOKUP(N215,Veg_Parameters!$A$3:$N$65,3,FALSE)),0,(VLOOKUP(N215,Veg_Parameters!$A$3:$N$65,3,FALSE))))</f>
        <v/>
      </c>
      <c r="U215" s="523">
        <f t="shared" si="304"/>
        <v>0</v>
      </c>
      <c r="V215" s="523">
        <f t="shared" si="280"/>
        <v>0</v>
      </c>
      <c r="W215" s="524">
        <f>IF(ISBLANK(A215),0,IF(ISNA(VLOOKUP($I215,Veg_Parameters!$A$3:$N$65,10,FALSE)),0,(VLOOKUP($I215,Veg_Parameters!$A$3:$N$65,10,FALSE))))</f>
        <v>0</v>
      </c>
      <c r="X215" s="524">
        <f>IF(ISBLANK(A215),0,IF(ISNA(VLOOKUP($I215,Veg_Parameters!$A$3:$N$65,11,FALSE)),0,(VLOOKUP($I215,Veg_Parameters!$A$3:$N$65,11,FALSE))))</f>
        <v>0</v>
      </c>
      <c r="Y215" s="524">
        <f>IF(ISBLANK(A215),0,IF(ISNA(VLOOKUP($I215,Veg_Parameters!$A$3:$N$65,12,FALSE)),0,(VLOOKUP($I215,Veg_Parameters!$A$3:$N$65,12,FALSE))))</f>
        <v>0</v>
      </c>
      <c r="Z215" s="525">
        <f t="shared" si="281"/>
        <v>0</v>
      </c>
      <c r="AA215" s="525">
        <f t="shared" si="282"/>
        <v>0</v>
      </c>
      <c r="AB215" s="525">
        <f t="shared" si="283"/>
        <v>0</v>
      </c>
      <c r="AC215" s="524">
        <f>IF(ISBLANK(N215),0,IF(ISNA(VLOOKUP($N215,Veg_Parameters!$A$3:$N$65,10,FALSE)),0,(VLOOKUP($N215,Veg_Parameters!$A$3:$N$65,10,FALSE))))</f>
        <v>0</v>
      </c>
      <c r="AD215" s="524">
        <f>IF(ISBLANK(N215),0,IF(ISNA(VLOOKUP($N215,Veg_Parameters!$A$3:$N$65,11,FALSE)),0,(VLOOKUP($N215,Veg_Parameters!$A$3:$N$65,11,FALSE))))</f>
        <v>0</v>
      </c>
      <c r="AE215" s="524">
        <f>IF(ISBLANK(N215), 0, IF(ISNA(VLOOKUP($N215,Veg_Parameters!$A$3:$N$65,12,FALSE)),0,(VLOOKUP($N215,Veg_Parameters!$A$3:$N$65,12,FALSE))))</f>
        <v>0</v>
      </c>
      <c r="AF215" s="523">
        <f t="shared" si="284"/>
        <v>0</v>
      </c>
      <c r="AG215" s="523">
        <f t="shared" si="285"/>
        <v>0</v>
      </c>
      <c r="AH215" s="523">
        <f t="shared" si="286"/>
        <v>0</v>
      </c>
      <c r="AI215" s="526"/>
      <c r="AJ215" s="527">
        <f>AB215*(IF(ISNA(VLOOKUP($I215,Veg_Parameters!$A$3:$N$65,5,FALSE)),0,(VLOOKUP($I215,Veg_Parameters!$A$3:$N$65,5,FALSE))))</f>
        <v>0</v>
      </c>
      <c r="AK215" s="527">
        <f>IF(ISNA(VLOOKUP($I215,Veg_Parameters!$A$3:$N$65,4,FALSE)),0,(VLOOKUP($I215,Veg_Parameters!$A$3:$N$65,4,FALSE)))</f>
        <v>0</v>
      </c>
      <c r="AL215" s="527">
        <f>AB215*(IF(ISNA(VLOOKUP($I215,Veg_Parameters!$A$3:$N$65,7,FALSE)),0, (VLOOKUP($I215,Veg_Parameters!$A$3:$N$65,7,FALSE))))</f>
        <v>0</v>
      </c>
      <c r="AM215" s="528">
        <f>IF(ISNA(VLOOKUP($I215,Veg_Parameters!$A$3:$N$65,6,FALSE)), 0, (VLOOKUP($I215,Veg_Parameters!$A$3:$N$65,6,FALSE)))</f>
        <v>0</v>
      </c>
      <c r="AN215" s="529">
        <f t="shared" si="287"/>
        <v>20</v>
      </c>
      <c r="AO215" s="529">
        <f t="shared" si="288"/>
        <v>0</v>
      </c>
      <c r="AP215" s="529">
        <f t="shared" si="289"/>
        <v>0</v>
      </c>
      <c r="AQ215" s="530">
        <f t="shared" si="305"/>
        <v>0</v>
      </c>
      <c r="AR215" s="527" t="s">
        <v>3</v>
      </c>
      <c r="AS215" s="527">
        <f>IF(ISNA(VLOOKUP($I215,Veg_Parameters!$A$3:$N$65,8,FALSE)), 0, (VLOOKUP($I215,Veg_Parameters!$A$3:$N$65,8,FALSE)))</f>
        <v>0</v>
      </c>
      <c r="AT215" s="527">
        <f>AB215*(IF(ISNA(VLOOKUP($I215,Veg_Parameters!$A$3:$N$65,9,FALSE)), 0, (VLOOKUP($I215,Veg_Parameters!$A$3:$N$65,9,FALSE))))</f>
        <v>0</v>
      </c>
      <c r="AU215" s="527">
        <f>IF(ISBLANK(A215),0,VLOOKUP($I215,Veg_Parameters!$A$4:$U$65,21,))</f>
        <v>0</v>
      </c>
      <c r="AV215" s="527">
        <f t="shared" si="306"/>
        <v>0</v>
      </c>
      <c r="AW215" s="529">
        <f t="shared" si="307"/>
        <v>0</v>
      </c>
      <c r="AX215" s="529">
        <f t="shared" si="308"/>
        <v>0</v>
      </c>
      <c r="AY215" s="529">
        <f t="shared" si="290"/>
        <v>0</v>
      </c>
      <c r="AZ215" s="529">
        <f t="shared" si="309"/>
        <v>0</v>
      </c>
      <c r="BA215" s="529">
        <f t="shared" si="310"/>
        <v>0</v>
      </c>
      <c r="BB215" s="529">
        <f t="shared" si="311"/>
        <v>0</v>
      </c>
      <c r="BC215" s="529">
        <f t="shared" si="291"/>
        <v>0</v>
      </c>
      <c r="BD215" s="531"/>
      <c r="BE215" s="527">
        <f>AH215*(IF(ISNA(VLOOKUP($N215,Veg_Parameters!$A$3:$N$65,5,FALSE)),0,(VLOOKUP($N215,Veg_Parameters!$A$3:$N$65,5,FALSE))))</f>
        <v>0</v>
      </c>
      <c r="BF215" s="527">
        <f>IF(ISNA(VLOOKUP($N215,Veg_Parameters!$A$3:$N$65,4,FALSE)),0,(VLOOKUP($N215,Veg_Parameters!$A$3:$N$65,4,FALSE)))</f>
        <v>0</v>
      </c>
      <c r="BG215" s="527">
        <f>AH215*(IF(ISNA(VLOOKUP($N215,Veg_Parameters!$A$3:$N$65,7,FALSE)),0, (VLOOKUP($N215,Veg_Parameters!$A$3:$N$65,7,FALSE))))</f>
        <v>0</v>
      </c>
      <c r="BH215" s="527">
        <f>IF(ISNA(VLOOKUP($N215,Veg_Parameters!$A$3:$N$65,6,FALSE)), 0, (VLOOKUP($N215,Veg_Parameters!$A$3:$N$65,6,FALSE)))</f>
        <v>0</v>
      </c>
      <c r="BI215" s="529">
        <f t="shared" si="292"/>
        <v>20</v>
      </c>
      <c r="BJ215" s="529">
        <f t="shared" si="312"/>
        <v>0</v>
      </c>
      <c r="BK215" s="529">
        <f t="shared" si="293"/>
        <v>0</v>
      </c>
      <c r="BL215" s="530">
        <f t="shared" si="313"/>
        <v>0</v>
      </c>
      <c r="BM215" s="527" t="s">
        <v>3</v>
      </c>
      <c r="BN215" s="527">
        <f>IF(ISNA(VLOOKUP(N215,Veg_Parameters!$A$3:$N$65,8,FALSE)), 0, (VLOOKUP($N215,Veg_Parameters!$A$3:$N$65,8,FALSE)))</f>
        <v>0</v>
      </c>
      <c r="BO215" s="527">
        <f>AH215*(IF(ISNA(VLOOKUP($N215,Veg_Parameters!$A$3:$N$65,9,FALSE)), 0, (VLOOKUP($N215,Veg_Parameters!$A$3:$N$65,9,FALSE))))</f>
        <v>0</v>
      </c>
      <c r="BP215" s="527" t="str">
        <f>IF(ISBLANK(N215),"0",VLOOKUP($N215,Veg_Parameters!$A$4:$U$65,21,))</f>
        <v>0</v>
      </c>
      <c r="BQ215" s="529">
        <f t="shared" si="314"/>
        <v>0</v>
      </c>
      <c r="BR215" s="529">
        <f t="shared" si="315"/>
        <v>0</v>
      </c>
      <c r="BS215" s="529">
        <f t="shared" si="294"/>
        <v>0</v>
      </c>
      <c r="BT215" s="529">
        <f t="shared" si="316"/>
        <v>0</v>
      </c>
      <c r="BU215" s="529">
        <f t="shared" si="317"/>
        <v>0</v>
      </c>
      <c r="BV215" s="529">
        <f t="shared" si="318"/>
        <v>0</v>
      </c>
      <c r="BW215" s="532" t="str">
        <f t="shared" si="295"/>
        <v/>
      </c>
      <c r="BX215" s="532" t="str">
        <f t="shared" si="296"/>
        <v/>
      </c>
      <c r="BY215" s="532" t="str">
        <f t="shared" si="297"/>
        <v/>
      </c>
      <c r="BZ215" s="532" t="str">
        <f t="shared" si="298"/>
        <v/>
      </c>
      <c r="CA215" s="532">
        <f t="shared" si="299"/>
        <v>0</v>
      </c>
      <c r="CB215" s="533"/>
      <c r="CC215" s="624">
        <f t="shared" si="300"/>
        <v>0</v>
      </c>
      <c r="CD215" s="534">
        <f t="shared" si="301"/>
        <v>0</v>
      </c>
      <c r="CE215" s="534">
        <f t="shared" si="302"/>
        <v>0</v>
      </c>
      <c r="CF215" s="534">
        <f t="shared" si="303"/>
        <v>0</v>
      </c>
      <c r="CG215" s="534"/>
      <c r="CH215" s="534"/>
      <c r="CI215" s="534">
        <f t="shared" si="319"/>
        <v>0</v>
      </c>
      <c r="CL215" s="534">
        <f>IF(ISNA(VLOOKUP(I215,Veg_Parameters!$A$3:$N$65,13,FALSE)),0,(VLOOKUP(I215,Veg_Parameters!$A$3:$N$65,13,FALSE)))</f>
        <v>0</v>
      </c>
      <c r="CM215" s="534">
        <f t="shared" si="320"/>
        <v>0</v>
      </c>
      <c r="CN215" s="534">
        <f>IF(ISNA(VLOOKUP(N215,Veg_Parameters!$A$3:$N$65,13,FALSE)),0,(VLOOKUP(N215,Veg_Parameters!$A$3:$N$65,13,FALSE)))</f>
        <v>0</v>
      </c>
      <c r="CO215" s="523">
        <f t="shared" si="321"/>
        <v>0</v>
      </c>
    </row>
    <row r="216" spans="1:93" x14ac:dyDescent="0.2">
      <c r="A216" s="227"/>
      <c r="B216" s="171" t="str">
        <f t="shared" si="322"/>
        <v/>
      </c>
      <c r="C216" s="230"/>
      <c r="D216" s="169"/>
      <c r="E216" s="165"/>
      <c r="F216" s="165"/>
      <c r="G216" s="165"/>
      <c r="H216" s="165"/>
      <c r="I216" s="168"/>
      <c r="J216" s="167"/>
      <c r="K216" s="168"/>
      <c r="L216" s="167"/>
      <c r="M216" s="167"/>
      <c r="N216" s="168"/>
      <c r="O216" s="168"/>
      <c r="P216" s="167"/>
      <c r="Q216" s="167"/>
      <c r="R216" s="167"/>
      <c r="S216" s="222" t="str">
        <f>IF(ISBLANK(A216),"",IF(ISNA(VLOOKUP(I216,Veg_Parameters!$A$3:$N$65,3,FALSE)),0,(VLOOKUP(I216,Veg_Parameters!$A$3:$N$65,3,FALSE))))</f>
        <v/>
      </c>
      <c r="T216" s="222" t="str">
        <f>IF(ISBLANK(N216),"",IF(ISNA(VLOOKUP(N216,Veg_Parameters!$A$3:$N$65,3,FALSE)),0,(VLOOKUP(N216,Veg_Parameters!$A$3:$N$65,3,FALSE))))</f>
        <v/>
      </c>
      <c r="U216" s="523">
        <f t="shared" si="304"/>
        <v>0</v>
      </c>
      <c r="V216" s="523">
        <f t="shared" si="280"/>
        <v>0</v>
      </c>
      <c r="W216" s="524">
        <f>IF(ISBLANK(A216),0,IF(ISNA(VLOOKUP($I216,Veg_Parameters!$A$3:$N$65,10,FALSE)),0,(VLOOKUP($I216,Veg_Parameters!$A$3:$N$65,10,FALSE))))</f>
        <v>0</v>
      </c>
      <c r="X216" s="524">
        <f>IF(ISBLANK(A216),0,IF(ISNA(VLOOKUP($I216,Veg_Parameters!$A$3:$N$65,11,FALSE)),0,(VLOOKUP($I216,Veg_Parameters!$A$3:$N$65,11,FALSE))))</f>
        <v>0</v>
      </c>
      <c r="Y216" s="524">
        <f>IF(ISBLANK(A216),0,IF(ISNA(VLOOKUP($I216,Veg_Parameters!$A$3:$N$65,12,FALSE)),0,(VLOOKUP($I216,Veg_Parameters!$A$3:$N$65,12,FALSE))))</f>
        <v>0</v>
      </c>
      <c r="Z216" s="525">
        <f t="shared" si="281"/>
        <v>0</v>
      </c>
      <c r="AA216" s="525">
        <f t="shared" si="282"/>
        <v>0</v>
      </c>
      <c r="AB216" s="525">
        <f t="shared" si="283"/>
        <v>0</v>
      </c>
      <c r="AC216" s="524">
        <f>IF(ISBLANK(N216),0,IF(ISNA(VLOOKUP($N216,Veg_Parameters!$A$3:$N$65,10,FALSE)),0,(VLOOKUP($N216,Veg_Parameters!$A$3:$N$65,10,FALSE))))</f>
        <v>0</v>
      </c>
      <c r="AD216" s="524">
        <f>IF(ISBLANK(N216),0,IF(ISNA(VLOOKUP($N216,Veg_Parameters!$A$3:$N$65,11,FALSE)),0,(VLOOKUP($N216,Veg_Parameters!$A$3:$N$65,11,FALSE))))</f>
        <v>0</v>
      </c>
      <c r="AE216" s="524">
        <f>IF(ISBLANK(N216), 0, IF(ISNA(VLOOKUP($N216,Veg_Parameters!$A$3:$N$65,12,FALSE)),0,(VLOOKUP($N216,Veg_Parameters!$A$3:$N$65,12,FALSE))))</f>
        <v>0</v>
      </c>
      <c r="AF216" s="523">
        <f t="shared" si="284"/>
        <v>0</v>
      </c>
      <c r="AG216" s="523">
        <f t="shared" si="285"/>
        <v>0</v>
      </c>
      <c r="AH216" s="523">
        <f t="shared" si="286"/>
        <v>0</v>
      </c>
      <c r="AI216" s="526"/>
      <c r="AJ216" s="527">
        <f>AB216*(IF(ISNA(VLOOKUP($I216,Veg_Parameters!$A$3:$N$65,5,FALSE)),0,(VLOOKUP($I216,Veg_Parameters!$A$3:$N$65,5,FALSE))))</f>
        <v>0</v>
      </c>
      <c r="AK216" s="527">
        <f>IF(ISNA(VLOOKUP($I216,Veg_Parameters!$A$3:$N$65,4,FALSE)),0,(VLOOKUP($I216,Veg_Parameters!$A$3:$N$65,4,FALSE)))</f>
        <v>0</v>
      </c>
      <c r="AL216" s="527">
        <f>AB216*(IF(ISNA(VLOOKUP($I216,Veg_Parameters!$A$3:$N$65,7,FALSE)),0, (VLOOKUP($I216,Veg_Parameters!$A$3:$N$65,7,FALSE))))</f>
        <v>0</v>
      </c>
      <c r="AM216" s="528">
        <f>IF(ISNA(VLOOKUP($I216,Veg_Parameters!$A$3:$N$65,6,FALSE)), 0, (VLOOKUP($I216,Veg_Parameters!$A$3:$N$65,6,FALSE)))</f>
        <v>0</v>
      </c>
      <c r="AN216" s="529">
        <f t="shared" si="287"/>
        <v>20</v>
      </c>
      <c r="AO216" s="529">
        <f t="shared" si="288"/>
        <v>0</v>
      </c>
      <c r="AP216" s="529">
        <f t="shared" si="289"/>
        <v>0</v>
      </c>
      <c r="AQ216" s="530">
        <f t="shared" si="305"/>
        <v>0</v>
      </c>
      <c r="AR216" s="527" t="s">
        <v>3</v>
      </c>
      <c r="AS216" s="527">
        <f>IF(ISNA(VLOOKUP($I216,Veg_Parameters!$A$3:$N$65,8,FALSE)), 0, (VLOOKUP($I216,Veg_Parameters!$A$3:$N$65,8,FALSE)))</f>
        <v>0</v>
      </c>
      <c r="AT216" s="527">
        <f>AB216*(IF(ISNA(VLOOKUP($I216,Veg_Parameters!$A$3:$N$65,9,FALSE)), 0, (VLOOKUP($I216,Veg_Parameters!$A$3:$N$65,9,FALSE))))</f>
        <v>0</v>
      </c>
      <c r="AU216" s="527">
        <f>IF(ISBLANK(A216),0,VLOOKUP($I216,Veg_Parameters!$A$4:$U$65,21,))</f>
        <v>0</v>
      </c>
      <c r="AV216" s="527">
        <f t="shared" si="306"/>
        <v>0</v>
      </c>
      <c r="AW216" s="529">
        <f t="shared" si="307"/>
        <v>0</v>
      </c>
      <c r="AX216" s="529">
        <f t="shared" si="308"/>
        <v>0</v>
      </c>
      <c r="AY216" s="529">
        <f t="shared" si="290"/>
        <v>0</v>
      </c>
      <c r="AZ216" s="529">
        <f t="shared" si="309"/>
        <v>0</v>
      </c>
      <c r="BA216" s="529">
        <f t="shared" si="310"/>
        <v>0</v>
      </c>
      <c r="BB216" s="529">
        <f t="shared" si="311"/>
        <v>0</v>
      </c>
      <c r="BC216" s="529">
        <f t="shared" si="291"/>
        <v>0</v>
      </c>
      <c r="BD216" s="531"/>
      <c r="BE216" s="527">
        <f>AH216*(IF(ISNA(VLOOKUP($N216,Veg_Parameters!$A$3:$N$65,5,FALSE)),0,(VLOOKUP($N216,Veg_Parameters!$A$3:$N$65,5,FALSE))))</f>
        <v>0</v>
      </c>
      <c r="BF216" s="527">
        <f>IF(ISNA(VLOOKUP($N216,Veg_Parameters!$A$3:$N$65,4,FALSE)),0,(VLOOKUP($N216,Veg_Parameters!$A$3:$N$65,4,FALSE)))</f>
        <v>0</v>
      </c>
      <c r="BG216" s="527">
        <f>AH216*(IF(ISNA(VLOOKUP($N216,Veg_Parameters!$A$3:$N$65,7,FALSE)),0, (VLOOKUP($N216,Veg_Parameters!$A$3:$N$65,7,FALSE))))</f>
        <v>0</v>
      </c>
      <c r="BH216" s="527">
        <f>IF(ISNA(VLOOKUP($N216,Veg_Parameters!$A$3:$N$65,6,FALSE)), 0, (VLOOKUP($N216,Veg_Parameters!$A$3:$N$65,6,FALSE)))</f>
        <v>0</v>
      </c>
      <c r="BI216" s="529">
        <f t="shared" si="292"/>
        <v>20</v>
      </c>
      <c r="BJ216" s="529">
        <f t="shared" si="312"/>
        <v>0</v>
      </c>
      <c r="BK216" s="529">
        <f t="shared" si="293"/>
        <v>0</v>
      </c>
      <c r="BL216" s="530">
        <f t="shared" si="313"/>
        <v>0</v>
      </c>
      <c r="BM216" s="527" t="s">
        <v>3</v>
      </c>
      <c r="BN216" s="527">
        <f>IF(ISNA(VLOOKUP(N216,Veg_Parameters!$A$3:$N$65,8,FALSE)), 0, (VLOOKUP($N216,Veg_Parameters!$A$3:$N$65,8,FALSE)))</f>
        <v>0</v>
      </c>
      <c r="BO216" s="527">
        <f>AH216*(IF(ISNA(VLOOKUP($N216,Veg_Parameters!$A$3:$N$65,9,FALSE)), 0, (VLOOKUP($N216,Veg_Parameters!$A$3:$N$65,9,FALSE))))</f>
        <v>0</v>
      </c>
      <c r="BP216" s="527" t="str">
        <f>IF(ISBLANK(N216),"0",VLOOKUP($N216,Veg_Parameters!$A$4:$U$65,21,))</f>
        <v>0</v>
      </c>
      <c r="BQ216" s="529">
        <f t="shared" si="314"/>
        <v>0</v>
      </c>
      <c r="BR216" s="529">
        <f t="shared" si="315"/>
        <v>0</v>
      </c>
      <c r="BS216" s="529">
        <f t="shared" si="294"/>
        <v>0</v>
      </c>
      <c r="BT216" s="529">
        <f t="shared" si="316"/>
        <v>0</v>
      </c>
      <c r="BU216" s="529">
        <f t="shared" si="317"/>
        <v>0</v>
      </c>
      <c r="BV216" s="529">
        <f t="shared" si="318"/>
        <v>0</v>
      </c>
      <c r="BW216" s="532" t="str">
        <f t="shared" si="295"/>
        <v/>
      </c>
      <c r="BX216" s="532" t="str">
        <f t="shared" si="296"/>
        <v/>
      </c>
      <c r="BY216" s="532" t="str">
        <f t="shared" si="297"/>
        <v/>
      </c>
      <c r="BZ216" s="532" t="str">
        <f t="shared" si="298"/>
        <v/>
      </c>
      <c r="CA216" s="532">
        <f t="shared" si="299"/>
        <v>0</v>
      </c>
      <c r="CB216" s="533"/>
      <c r="CC216" s="624">
        <f t="shared" si="300"/>
        <v>0</v>
      </c>
      <c r="CD216" s="534">
        <f t="shared" si="301"/>
        <v>0</v>
      </c>
      <c r="CE216" s="534">
        <f t="shared" si="302"/>
        <v>0</v>
      </c>
      <c r="CF216" s="534">
        <f t="shared" si="303"/>
        <v>0</v>
      </c>
      <c r="CG216" s="534"/>
      <c r="CH216" s="534"/>
      <c r="CI216" s="534">
        <f t="shared" si="319"/>
        <v>0</v>
      </c>
      <c r="CL216" s="534">
        <f>IF(ISNA(VLOOKUP(I216,Veg_Parameters!$A$3:$N$65,13,FALSE)),0,(VLOOKUP(I216,Veg_Parameters!$A$3:$N$65,13,FALSE)))</f>
        <v>0</v>
      </c>
      <c r="CM216" s="534">
        <f t="shared" si="320"/>
        <v>0</v>
      </c>
      <c r="CN216" s="534">
        <f>IF(ISNA(VLOOKUP(N216,Veg_Parameters!$A$3:$N$65,13,FALSE)),0,(VLOOKUP(N216,Veg_Parameters!$A$3:$N$65,13,FALSE)))</f>
        <v>0</v>
      </c>
      <c r="CO216" s="523">
        <f t="shared" si="321"/>
        <v>0</v>
      </c>
    </row>
    <row r="217" spans="1:93" ht="13.5" thickBot="1" x14ac:dyDescent="0.25">
      <c r="A217" s="227"/>
      <c r="B217" s="171" t="str">
        <f t="shared" si="322"/>
        <v/>
      </c>
      <c r="C217" s="230"/>
      <c r="D217" s="169"/>
      <c r="E217" s="165"/>
      <c r="F217" s="165"/>
      <c r="G217" s="165"/>
      <c r="H217" s="165"/>
      <c r="I217" s="168"/>
      <c r="J217" s="167"/>
      <c r="K217" s="168"/>
      <c r="L217" s="167"/>
      <c r="M217" s="167"/>
      <c r="N217" s="168"/>
      <c r="O217" s="168"/>
      <c r="P217" s="167"/>
      <c r="Q217" s="167"/>
      <c r="R217" s="167"/>
      <c r="S217" s="222" t="str">
        <f>IF(ISBLANK(A217),"",IF(ISNA(VLOOKUP(I217,Veg_Parameters!$A$3:$N$65,3,FALSE)),0,(VLOOKUP(I217,Veg_Parameters!$A$3:$N$65,3,FALSE))))</f>
        <v/>
      </c>
      <c r="T217" s="222" t="str">
        <f>IF(ISBLANK(N217),"",IF(ISNA(VLOOKUP(N217,Veg_Parameters!$A$3:$N$65,3,FALSE)),0,(VLOOKUP(N217,Veg_Parameters!$A$3:$N$65,3,FALSE))))</f>
        <v/>
      </c>
      <c r="U217" s="523">
        <f t="shared" si="304"/>
        <v>0</v>
      </c>
      <c r="V217" s="523">
        <f t="shared" si="280"/>
        <v>0</v>
      </c>
      <c r="W217" s="524">
        <f>IF(ISBLANK(A217),0,IF(ISNA(VLOOKUP($I217,Veg_Parameters!$A$3:$N$65,10,FALSE)),0,(VLOOKUP($I217,Veg_Parameters!$A$3:$N$65,10,FALSE))))</f>
        <v>0</v>
      </c>
      <c r="X217" s="524">
        <f>IF(ISBLANK(A217),0,IF(ISNA(VLOOKUP($I217,Veg_Parameters!$A$3:$N$65,11,FALSE)),0,(VLOOKUP($I217,Veg_Parameters!$A$3:$N$65,11,FALSE))))</f>
        <v>0</v>
      </c>
      <c r="Y217" s="524">
        <f>IF(ISBLANK(A217),0,IF(ISNA(VLOOKUP($I217,Veg_Parameters!$A$3:$N$65,12,FALSE)),0,(VLOOKUP($I217,Veg_Parameters!$A$3:$N$65,12,FALSE))))</f>
        <v>0</v>
      </c>
      <c r="Z217" s="525">
        <f t="shared" si="281"/>
        <v>0</v>
      </c>
      <c r="AA217" s="525">
        <f t="shared" si="282"/>
        <v>0</v>
      </c>
      <c r="AB217" s="525">
        <f t="shared" si="283"/>
        <v>0</v>
      </c>
      <c r="AC217" s="524">
        <f>IF(ISBLANK(N217),0,IF(ISNA(VLOOKUP($N217,Veg_Parameters!$A$3:$N$65,10,FALSE)),0,(VLOOKUP($N217,Veg_Parameters!$A$3:$N$65,10,FALSE))))</f>
        <v>0</v>
      </c>
      <c r="AD217" s="524">
        <f>IF(ISBLANK(N217),0,IF(ISNA(VLOOKUP($N217,Veg_Parameters!$A$3:$N$65,11,FALSE)),0,(VLOOKUP($N217,Veg_Parameters!$A$3:$N$65,11,FALSE))))</f>
        <v>0</v>
      </c>
      <c r="AE217" s="524">
        <f>IF(ISBLANK(N217), 0, IF(ISNA(VLOOKUP($N217,Veg_Parameters!$A$3:$N$65,12,FALSE)),0,(VLOOKUP($N217,Veg_Parameters!$A$3:$N$65,12,FALSE))))</f>
        <v>0</v>
      </c>
      <c r="AF217" s="523">
        <f t="shared" si="284"/>
        <v>0</v>
      </c>
      <c r="AG217" s="523">
        <f t="shared" si="285"/>
        <v>0</v>
      </c>
      <c r="AH217" s="523">
        <f t="shared" si="286"/>
        <v>0</v>
      </c>
      <c r="AI217" s="526"/>
      <c r="AJ217" s="527">
        <f>AB217*(IF(ISNA(VLOOKUP($I217,Veg_Parameters!$A$3:$N$65,5,FALSE)),0,(VLOOKUP($I217,Veg_Parameters!$A$3:$N$65,5,FALSE))))</f>
        <v>0</v>
      </c>
      <c r="AK217" s="527">
        <f>IF(ISNA(VLOOKUP($I217,Veg_Parameters!$A$3:$N$65,4,FALSE)),0,(VLOOKUP($I217,Veg_Parameters!$A$3:$N$65,4,FALSE)))</f>
        <v>0</v>
      </c>
      <c r="AL217" s="527">
        <f>AB217*(IF(ISNA(VLOOKUP($I217,Veg_Parameters!$A$3:$N$65,7,FALSE)),0, (VLOOKUP($I217,Veg_Parameters!$A$3:$N$65,7,FALSE))))</f>
        <v>0</v>
      </c>
      <c r="AM217" s="528">
        <f>IF(ISNA(VLOOKUP($I217,Veg_Parameters!$A$3:$N$65,6,FALSE)), 0, (VLOOKUP($I217,Veg_Parameters!$A$3:$N$65,6,FALSE)))</f>
        <v>0</v>
      </c>
      <c r="AN217" s="529">
        <f t="shared" si="287"/>
        <v>20</v>
      </c>
      <c r="AO217" s="529">
        <f t="shared" si="288"/>
        <v>0</v>
      </c>
      <c r="AP217" s="529">
        <f t="shared" si="289"/>
        <v>0</v>
      </c>
      <c r="AQ217" s="530">
        <f t="shared" si="305"/>
        <v>0</v>
      </c>
      <c r="AR217" s="527" t="s">
        <v>3</v>
      </c>
      <c r="AS217" s="527">
        <f>IF(ISNA(VLOOKUP($I217,Veg_Parameters!$A$3:$N$65,8,FALSE)), 0, (VLOOKUP($I217,Veg_Parameters!$A$3:$N$65,8,FALSE)))</f>
        <v>0</v>
      </c>
      <c r="AT217" s="527">
        <f>AB217*(IF(ISNA(VLOOKUP($I217,Veg_Parameters!$A$3:$N$65,9,FALSE)), 0, (VLOOKUP($I217,Veg_Parameters!$A$3:$N$65,9,FALSE))))</f>
        <v>0</v>
      </c>
      <c r="AU217" s="527">
        <f>IF(ISBLANK(A217),0,VLOOKUP($I217,Veg_Parameters!$A$4:$U$65,21,))</f>
        <v>0</v>
      </c>
      <c r="AV217" s="527">
        <f t="shared" si="306"/>
        <v>0</v>
      </c>
      <c r="AW217" s="529">
        <f t="shared" si="307"/>
        <v>0</v>
      </c>
      <c r="AX217" s="529">
        <f t="shared" si="308"/>
        <v>0</v>
      </c>
      <c r="AY217" s="529">
        <f t="shared" si="290"/>
        <v>0</v>
      </c>
      <c r="AZ217" s="529">
        <f t="shared" si="309"/>
        <v>0</v>
      </c>
      <c r="BA217" s="529">
        <f t="shared" si="310"/>
        <v>0</v>
      </c>
      <c r="BB217" s="529">
        <f t="shared" si="311"/>
        <v>0</v>
      </c>
      <c r="BC217" s="529">
        <f t="shared" si="291"/>
        <v>0</v>
      </c>
      <c r="BD217" s="531"/>
      <c r="BE217" s="527">
        <f>AH217*(IF(ISNA(VLOOKUP($N217,Veg_Parameters!$A$3:$N$65,5,FALSE)),0,(VLOOKUP($N217,Veg_Parameters!$A$3:$N$65,5,FALSE))))</f>
        <v>0</v>
      </c>
      <c r="BF217" s="527">
        <f>IF(ISNA(VLOOKUP($N217,Veg_Parameters!$A$3:$N$65,4,FALSE)),0,(VLOOKUP($N217,Veg_Parameters!$A$3:$N$65,4,FALSE)))</f>
        <v>0</v>
      </c>
      <c r="BG217" s="527">
        <f>AH217*(IF(ISNA(VLOOKUP($N217,Veg_Parameters!$A$3:$N$65,7,FALSE)),0, (VLOOKUP($N217,Veg_Parameters!$A$3:$N$65,7,FALSE))))</f>
        <v>0</v>
      </c>
      <c r="BH217" s="527">
        <f>IF(ISNA(VLOOKUP($N217,Veg_Parameters!$A$3:$N$65,6,FALSE)), 0, (VLOOKUP($N217,Veg_Parameters!$A$3:$N$65,6,FALSE)))</f>
        <v>0</v>
      </c>
      <c r="BI217" s="529">
        <f t="shared" si="292"/>
        <v>20</v>
      </c>
      <c r="BJ217" s="529">
        <f t="shared" si="312"/>
        <v>0</v>
      </c>
      <c r="BK217" s="529">
        <f t="shared" si="293"/>
        <v>0</v>
      </c>
      <c r="BL217" s="530">
        <f t="shared" si="313"/>
        <v>0</v>
      </c>
      <c r="BM217" s="527" t="s">
        <v>3</v>
      </c>
      <c r="BN217" s="527">
        <f>IF(ISNA(VLOOKUP(N217,Veg_Parameters!$A$3:$N$65,8,FALSE)), 0, (VLOOKUP($N217,Veg_Parameters!$A$3:$N$65,8,FALSE)))</f>
        <v>0</v>
      </c>
      <c r="BO217" s="527">
        <f>AH217*(IF(ISNA(VLOOKUP($N217,Veg_Parameters!$A$3:$N$65,9,FALSE)), 0, (VLOOKUP($N217,Veg_Parameters!$A$3:$N$65,9,FALSE))))</f>
        <v>0</v>
      </c>
      <c r="BP217" s="527" t="str">
        <f>IF(ISBLANK(N217),"0",VLOOKUP($N217,Veg_Parameters!$A$4:$U$65,21,))</f>
        <v>0</v>
      </c>
      <c r="BQ217" s="529">
        <f t="shared" si="314"/>
        <v>0</v>
      </c>
      <c r="BR217" s="529">
        <f t="shared" si="315"/>
        <v>0</v>
      </c>
      <c r="BS217" s="529">
        <f t="shared" si="294"/>
        <v>0</v>
      </c>
      <c r="BT217" s="529">
        <f t="shared" si="316"/>
        <v>0</v>
      </c>
      <c r="BU217" s="529">
        <f t="shared" si="317"/>
        <v>0</v>
      </c>
      <c r="BV217" s="529">
        <f t="shared" si="318"/>
        <v>0</v>
      </c>
      <c r="BW217" s="532" t="str">
        <f t="shared" si="295"/>
        <v/>
      </c>
      <c r="BX217" s="532" t="str">
        <f t="shared" si="296"/>
        <v/>
      </c>
      <c r="BY217" s="532" t="str">
        <f t="shared" si="297"/>
        <v/>
      </c>
      <c r="BZ217" s="532" t="str">
        <f t="shared" si="298"/>
        <v/>
      </c>
      <c r="CA217" s="532">
        <f t="shared" si="299"/>
        <v>0</v>
      </c>
      <c r="CB217" s="533"/>
      <c r="CC217" s="624">
        <f t="shared" si="300"/>
        <v>0</v>
      </c>
      <c r="CD217" s="534">
        <f t="shared" si="301"/>
        <v>0</v>
      </c>
      <c r="CE217" s="534">
        <f t="shared" si="302"/>
        <v>0</v>
      </c>
      <c r="CF217" s="534">
        <f t="shared" si="303"/>
        <v>0</v>
      </c>
      <c r="CG217" s="534"/>
      <c r="CH217" s="534"/>
      <c r="CI217" s="534">
        <f t="shared" si="319"/>
        <v>0</v>
      </c>
      <c r="CL217" s="534">
        <f>IF(ISNA(VLOOKUP(I217,Veg_Parameters!$A$3:$N$65,13,FALSE)),0,(VLOOKUP(I217,Veg_Parameters!$A$3:$N$65,13,FALSE)))</f>
        <v>0</v>
      </c>
      <c r="CM217" s="534">
        <f t="shared" si="320"/>
        <v>0</v>
      </c>
      <c r="CN217" s="534">
        <f>IF(ISNA(VLOOKUP(N217,Veg_Parameters!$A$3:$N$65,13,FALSE)),0,(VLOOKUP(N217,Veg_Parameters!$A$3:$N$65,13,FALSE)))</f>
        <v>0</v>
      </c>
      <c r="CO217" s="523">
        <f t="shared" si="321"/>
        <v>0</v>
      </c>
    </row>
    <row r="218" spans="1:93" ht="13.5" thickBot="1" x14ac:dyDescent="0.25">
      <c r="A218" s="223" t="s">
        <v>70</v>
      </c>
      <c r="B218" s="50" t="str">
        <f>IF(ISBLANK(B193),"",B193)</f>
        <v/>
      </c>
      <c r="C218" s="223"/>
      <c r="D218" s="51"/>
      <c r="E218" s="51"/>
      <c r="F218" s="51"/>
      <c r="G218" s="91" t="str">
        <f>IFERROR((SUMPRODUCT($U193:$U217,G193:G217))/(100*$U218),"")</f>
        <v/>
      </c>
      <c r="H218" s="91" t="str">
        <f>IFERROR((SUMPRODUCT($U193:$U217,H193:H217))/(100*$U218),"")</f>
        <v/>
      </c>
      <c r="I218" s="51"/>
      <c r="J218" s="51"/>
      <c r="K218" s="51"/>
      <c r="L218" s="51"/>
      <c r="M218" s="51" t="s">
        <v>27</v>
      </c>
      <c r="N218" s="51"/>
      <c r="O218" s="51"/>
      <c r="P218" s="51"/>
      <c r="Q218" s="51"/>
      <c r="R218" s="51" t="s">
        <v>27</v>
      </c>
      <c r="S218" s="223"/>
      <c r="T218" s="223"/>
      <c r="U218" s="562">
        <f>+SUM(U193:U217)</f>
        <v>0</v>
      </c>
      <c r="V218" s="535" t="str">
        <f>IFERROR(SUMPRODUCT(U193:U217, V193:V217)/U218,"")</f>
        <v/>
      </c>
      <c r="W218" s="536"/>
      <c r="X218" s="536"/>
      <c r="Y218" s="536"/>
      <c r="Z218" s="536"/>
      <c r="AA218" s="536"/>
      <c r="AB218" s="536"/>
      <c r="AC218" s="536"/>
      <c r="AD218" s="536"/>
      <c r="AE218" s="536"/>
      <c r="AF218" s="537"/>
      <c r="AG218" s="537"/>
      <c r="AH218" s="537"/>
      <c r="AI218" s="104"/>
      <c r="AJ218" s="538"/>
      <c r="AK218" s="538"/>
      <c r="AL218" s="539"/>
      <c r="AM218" s="540"/>
      <c r="AN218" s="541"/>
      <c r="AO218" s="538"/>
      <c r="AP218" s="542">
        <f>MAX(AP193:AP217)</f>
        <v>0</v>
      </c>
      <c r="AQ218" s="542" t="s">
        <v>27</v>
      </c>
      <c r="AR218" s="538"/>
      <c r="AS218" s="538"/>
      <c r="AT218" s="538"/>
      <c r="AU218" s="538"/>
      <c r="AV218" s="543">
        <f>SUM(AV193:AV217)</f>
        <v>0</v>
      </c>
      <c r="AW218" s="538"/>
      <c r="AX218" s="538"/>
      <c r="AY218" s="544"/>
      <c r="AZ218" s="544"/>
      <c r="BA218" s="544"/>
      <c r="BB218" s="544"/>
      <c r="BC218" s="544"/>
      <c r="BD218" s="538"/>
      <c r="BE218" s="538"/>
      <c r="BF218" s="538"/>
      <c r="BG218" s="539"/>
      <c r="BH218" s="540"/>
      <c r="BI218" s="541"/>
      <c r="BJ218" s="538"/>
      <c r="BK218" s="542">
        <f>MAX(BK193:BK217)</f>
        <v>0</v>
      </c>
      <c r="BL218" s="538"/>
      <c r="BM218" s="538"/>
      <c r="BN218" s="538"/>
      <c r="BO218" s="538"/>
      <c r="BP218" s="538"/>
      <c r="BQ218" s="538"/>
      <c r="BR218" s="538"/>
      <c r="BS218" s="544"/>
      <c r="BT218" s="544"/>
      <c r="BU218" s="544"/>
      <c r="BV218" s="544"/>
      <c r="BW218" s="545">
        <f>SUM(IF(FREQUENCY(BW193:BW217,BW193:BW217)&gt;0,1))</f>
        <v>0</v>
      </c>
      <c r="BX218" s="545">
        <f>SUM(IF(FREQUENCY(BX193:BX217,BX193:BX217)&gt;0,1))</f>
        <v>0</v>
      </c>
      <c r="BY218" s="545">
        <f>SUM(IF(FREQUENCY(BY193:BY217,BY193:BY217)&gt;0,1))</f>
        <v>0</v>
      </c>
      <c r="BZ218" s="545">
        <f>SUM(IF(FREQUENCY(BZ193:BZ217,BZ193:BZ217)&gt;0,1))</f>
        <v>0</v>
      </c>
      <c r="CA218" s="546"/>
      <c r="CB218" s="547"/>
      <c r="CC218" s="625" t="str">
        <f>+IFERROR(((SUM(CC193:CC217))/$U218),"")</f>
        <v/>
      </c>
      <c r="CD218" s="548" t="str">
        <f>+IFERROR(((SUM(CD193:CD217))/$U218),"")</f>
        <v/>
      </c>
      <c r="CE218" s="548" t="str">
        <f>+IFERROR(((SUM(CE193:CE217))/$U218),"")</f>
        <v/>
      </c>
      <c r="CF218" s="549" t="str">
        <f>+IFERROR(((SUM(CF193:CF217))/$U218),"")</f>
        <v/>
      </c>
      <c r="CG218" s="550">
        <f>SUM(IF(FREQUENCY(BW193:BX217,BW193:BX217)&gt;0,1))</f>
        <v>0</v>
      </c>
      <c r="CH218" s="551">
        <f>SUM(IF(FREQUENCY(BY193:BZ217,BY193:BZ217)&gt;0,1))</f>
        <v>0</v>
      </c>
      <c r="CI218" s="552">
        <f>+SUM(CI193:CI217)</f>
        <v>0</v>
      </c>
    </row>
    <row r="219" spans="1:93" ht="44.25" customHeight="1" thickBot="1" x14ac:dyDescent="0.25">
      <c r="A219" s="219"/>
      <c r="B219" s="48"/>
      <c r="C219" s="219"/>
      <c r="D219" s="49"/>
      <c r="E219" s="49"/>
      <c r="F219" s="49"/>
      <c r="G219" s="49"/>
      <c r="H219" s="49"/>
      <c r="I219" s="49"/>
      <c r="J219" s="49"/>
      <c r="K219" s="49"/>
      <c r="L219" s="49"/>
      <c r="M219" s="49"/>
      <c r="N219" s="49"/>
      <c r="O219" s="49"/>
      <c r="P219" s="49"/>
      <c r="Q219" s="49"/>
      <c r="R219" s="49"/>
      <c r="S219" s="219"/>
      <c r="T219" s="219"/>
      <c r="U219" s="554"/>
      <c r="V219" s="554"/>
      <c r="W219" s="490"/>
      <c r="X219" s="490"/>
      <c r="Y219" s="490"/>
      <c r="Z219" s="490"/>
      <c r="AA219" s="490"/>
      <c r="AB219" s="490"/>
      <c r="AC219" s="490"/>
      <c r="AD219" s="490"/>
      <c r="AE219" s="490"/>
      <c r="AF219" s="491"/>
      <c r="AG219" s="491"/>
      <c r="AH219" s="491"/>
      <c r="AI219" s="104"/>
      <c r="AJ219" s="477"/>
      <c r="AK219" s="477"/>
      <c r="AL219" s="477"/>
      <c r="AM219" s="477"/>
      <c r="AN219" s="477"/>
      <c r="AO219" s="477"/>
      <c r="AP219" s="477"/>
      <c r="AQ219" s="477"/>
      <c r="AR219" s="477"/>
      <c r="AS219" s="477"/>
      <c r="AT219" s="477"/>
      <c r="AU219" s="477"/>
      <c r="AV219" s="477"/>
      <c r="AW219" s="477"/>
      <c r="AX219" s="477"/>
      <c r="AY219" s="563"/>
      <c r="AZ219" s="564"/>
      <c r="BA219" s="564"/>
      <c r="BB219" s="564"/>
      <c r="BC219" s="564"/>
      <c r="BD219" s="477"/>
      <c r="BE219" s="477"/>
      <c r="BF219" s="477"/>
      <c r="BG219" s="477"/>
      <c r="BH219" s="477"/>
      <c r="BI219" s="477"/>
      <c r="BJ219" s="477"/>
      <c r="BK219" s="477"/>
      <c r="BL219" s="477"/>
      <c r="BM219" s="477"/>
      <c r="BN219" s="477"/>
      <c r="BO219" s="477"/>
      <c r="BP219" s="477"/>
      <c r="BQ219" s="477"/>
      <c r="BR219" s="477"/>
      <c r="BS219" s="290"/>
      <c r="BT219" s="104"/>
      <c r="BU219" s="104"/>
      <c r="BV219" s="104"/>
      <c r="BW219" s="555"/>
      <c r="BX219" s="555"/>
      <c r="BY219" s="555"/>
      <c r="BZ219" s="555"/>
      <c r="CA219" s="473"/>
      <c r="CB219" s="492"/>
      <c r="CC219" s="1164" t="s">
        <v>393</v>
      </c>
      <c r="CD219" s="1165"/>
      <c r="CE219" s="1165"/>
      <c r="CF219" s="1166"/>
      <c r="CG219" s="1162" t="s">
        <v>560</v>
      </c>
      <c r="CH219" s="1163"/>
      <c r="CI219" s="556" t="s">
        <v>553</v>
      </c>
    </row>
    <row r="220" spans="1:93" s="121" customFormat="1" x14ac:dyDescent="0.2">
      <c r="A220" s="224" t="s">
        <v>403</v>
      </c>
      <c r="B220" s="119"/>
      <c r="C220" s="224"/>
      <c r="D220" s="120"/>
      <c r="E220" s="120"/>
      <c r="F220" s="120"/>
      <c r="G220" s="120"/>
      <c r="H220" s="120"/>
      <c r="I220" s="120"/>
      <c r="J220" s="120"/>
      <c r="K220" s="120"/>
      <c r="L220" s="113"/>
      <c r="M220" s="120"/>
      <c r="N220" s="120"/>
      <c r="O220" s="120"/>
      <c r="P220" s="113"/>
      <c r="Q220" s="120"/>
      <c r="R220" s="120"/>
      <c r="S220" s="224"/>
      <c r="T220" s="224"/>
      <c r="U220" s="557"/>
      <c r="V220" s="557"/>
      <c r="W220" s="558"/>
      <c r="X220" s="558"/>
      <c r="Y220" s="558"/>
      <c r="Z220" s="558"/>
      <c r="AA220" s="558"/>
      <c r="AB220" s="558"/>
      <c r="AC220" s="558"/>
      <c r="AD220" s="558"/>
      <c r="AE220" s="558"/>
      <c r="AF220" s="559"/>
      <c r="AG220" s="559"/>
      <c r="AH220" s="559"/>
      <c r="AI220" s="104"/>
      <c r="AJ220" s="559"/>
      <c r="AK220" s="559"/>
      <c r="AL220" s="559"/>
      <c r="AM220" s="559"/>
      <c r="AN220" s="559"/>
      <c r="AO220" s="559"/>
      <c r="AP220" s="559"/>
      <c r="AQ220" s="559"/>
      <c r="AR220" s="559"/>
      <c r="AS220" s="559"/>
      <c r="AT220" s="559"/>
      <c r="AU220" s="559"/>
      <c r="AV220" s="559"/>
      <c r="AW220" s="559"/>
      <c r="AX220" s="559"/>
      <c r="AY220" s="559"/>
      <c r="AZ220" s="559"/>
      <c r="BA220" s="559"/>
      <c r="BB220" s="559"/>
      <c r="BC220" s="559"/>
      <c r="BD220" s="559"/>
      <c r="BE220" s="559"/>
      <c r="BF220" s="559"/>
      <c r="BG220" s="559"/>
      <c r="BH220" s="559"/>
      <c r="BI220" s="559"/>
      <c r="BJ220" s="559"/>
      <c r="BK220" s="559"/>
      <c r="BL220" s="559"/>
      <c r="BM220" s="559"/>
      <c r="BN220" s="559"/>
      <c r="BO220" s="559"/>
      <c r="BP220" s="559"/>
      <c r="BQ220" s="559"/>
      <c r="BR220" s="559"/>
      <c r="BS220" s="559"/>
      <c r="BT220" s="559"/>
      <c r="BU220" s="559"/>
      <c r="BV220" s="559"/>
      <c r="BW220" s="475"/>
      <c r="BX220" s="475"/>
      <c r="BY220" s="475"/>
      <c r="BZ220" s="475"/>
      <c r="CA220" s="475"/>
      <c r="CB220" s="475"/>
      <c r="CC220" s="626"/>
      <c r="CD220" s="560"/>
      <c r="CE220" s="560"/>
      <c r="CF220" s="560"/>
      <c r="CG220" s="560"/>
      <c r="CH220" s="560"/>
      <c r="CI220" s="560"/>
      <c r="CJ220" s="560"/>
      <c r="CK220" s="560"/>
      <c r="CL220" s="560"/>
      <c r="CM220" s="560"/>
      <c r="CN220" s="560"/>
      <c r="CO220" s="561"/>
    </row>
    <row r="221" spans="1:93" s="183" customFormat="1" ht="87" customHeight="1" x14ac:dyDescent="0.2">
      <c r="A221" s="228" t="s">
        <v>73</v>
      </c>
      <c r="B221" s="184" t="s">
        <v>421</v>
      </c>
      <c r="C221" s="293" t="s">
        <v>114</v>
      </c>
      <c r="D221" s="173" t="s">
        <v>53</v>
      </c>
      <c r="E221" s="173" t="s">
        <v>499</v>
      </c>
      <c r="F221" s="173" t="s">
        <v>394</v>
      </c>
      <c r="G221" s="173" t="s">
        <v>242</v>
      </c>
      <c r="H221" s="173" t="s">
        <v>563</v>
      </c>
      <c r="I221" s="173" t="s">
        <v>236</v>
      </c>
      <c r="J221" s="173" t="s">
        <v>240</v>
      </c>
      <c r="K221" s="173" t="s">
        <v>238</v>
      </c>
      <c r="L221" s="173" t="s">
        <v>554</v>
      </c>
      <c r="M221" s="173" t="s">
        <v>241</v>
      </c>
      <c r="N221" s="173" t="s">
        <v>237</v>
      </c>
      <c r="O221" s="173" t="s">
        <v>243</v>
      </c>
      <c r="P221" s="173" t="s">
        <v>239</v>
      </c>
      <c r="Q221" s="173" t="s">
        <v>555</v>
      </c>
      <c r="R221" s="173" t="s">
        <v>244</v>
      </c>
      <c r="S221" s="220" t="s">
        <v>245</v>
      </c>
      <c r="T221" s="220" t="s">
        <v>256</v>
      </c>
      <c r="U221" s="500" t="s">
        <v>53</v>
      </c>
      <c r="V221" s="500" t="s">
        <v>396</v>
      </c>
      <c r="W221" s="501" t="s">
        <v>508</v>
      </c>
      <c r="X221" s="501" t="s">
        <v>509</v>
      </c>
      <c r="Y221" s="501" t="s">
        <v>510</v>
      </c>
      <c r="Z221" s="501" t="s">
        <v>512</v>
      </c>
      <c r="AA221" s="501" t="s">
        <v>513</v>
      </c>
      <c r="AB221" s="501" t="s">
        <v>514</v>
      </c>
      <c r="AC221" s="501" t="s">
        <v>506</v>
      </c>
      <c r="AD221" s="501" t="s">
        <v>507</v>
      </c>
      <c r="AE221" s="501" t="s">
        <v>511</v>
      </c>
      <c r="AF221" s="501" t="s">
        <v>503</v>
      </c>
      <c r="AG221" s="501" t="s">
        <v>504</v>
      </c>
      <c r="AH221" s="501" t="s">
        <v>505</v>
      </c>
      <c r="AI221" s="502"/>
      <c r="AJ221" s="502" t="s">
        <v>246</v>
      </c>
      <c r="AK221" s="502" t="s">
        <v>247</v>
      </c>
      <c r="AL221" s="503" t="s">
        <v>248</v>
      </c>
      <c r="AM221" s="503" t="s">
        <v>249</v>
      </c>
      <c r="AN221" s="504" t="s">
        <v>250</v>
      </c>
      <c r="AO221" s="502" t="s">
        <v>270</v>
      </c>
      <c r="AP221" s="502" t="s">
        <v>271</v>
      </c>
      <c r="AQ221" s="503" t="s">
        <v>251</v>
      </c>
      <c r="AR221" s="503" t="s">
        <v>14</v>
      </c>
      <c r="AS221" s="503" t="s">
        <v>252</v>
      </c>
      <c r="AT221" s="503" t="s">
        <v>253</v>
      </c>
      <c r="AU221" s="503" t="s">
        <v>579</v>
      </c>
      <c r="AV221" s="503" t="s">
        <v>578</v>
      </c>
      <c r="AW221" s="503" t="s">
        <v>254</v>
      </c>
      <c r="AX221" s="503" t="s">
        <v>255</v>
      </c>
      <c r="AY221" s="503" t="s">
        <v>391</v>
      </c>
      <c r="AZ221" s="503" t="s">
        <v>267</v>
      </c>
      <c r="BA221" s="503" t="s">
        <v>272</v>
      </c>
      <c r="BB221" s="503" t="s">
        <v>273</v>
      </c>
      <c r="BC221" s="502" t="s">
        <v>539</v>
      </c>
      <c r="BD221" s="503"/>
      <c r="BE221" s="502" t="s">
        <v>257</v>
      </c>
      <c r="BF221" s="502" t="s">
        <v>258</v>
      </c>
      <c r="BG221" s="503" t="s">
        <v>259</v>
      </c>
      <c r="BH221" s="503" t="s">
        <v>260</v>
      </c>
      <c r="BI221" s="504" t="s">
        <v>261</v>
      </c>
      <c r="BJ221" s="502" t="s">
        <v>275</v>
      </c>
      <c r="BK221" s="502" t="s">
        <v>274</v>
      </c>
      <c r="BL221" s="503" t="s">
        <v>262</v>
      </c>
      <c r="BM221" s="503" t="s">
        <v>14</v>
      </c>
      <c r="BN221" s="503" t="s">
        <v>263</v>
      </c>
      <c r="BO221" s="503" t="s">
        <v>264</v>
      </c>
      <c r="BP221" s="503" t="s">
        <v>542</v>
      </c>
      <c r="BQ221" s="503" t="s">
        <v>265</v>
      </c>
      <c r="BR221" s="503" t="s">
        <v>266</v>
      </c>
      <c r="BS221" s="503" t="s">
        <v>392</v>
      </c>
      <c r="BT221" s="503" t="s">
        <v>276</v>
      </c>
      <c r="BU221" s="503" t="s">
        <v>277</v>
      </c>
      <c r="BV221" s="503" t="s">
        <v>278</v>
      </c>
      <c r="BW221" s="503" t="s">
        <v>556</v>
      </c>
      <c r="BX221" s="503" t="s">
        <v>559</v>
      </c>
      <c r="BY221" s="503" t="s">
        <v>557</v>
      </c>
      <c r="BZ221" s="503" t="s">
        <v>558</v>
      </c>
      <c r="CA221" s="505" t="s">
        <v>543</v>
      </c>
      <c r="CB221" s="506"/>
      <c r="CC221" s="622" t="s">
        <v>279</v>
      </c>
      <c r="CD221" s="506" t="s">
        <v>280</v>
      </c>
      <c r="CE221" s="506" t="s">
        <v>281</v>
      </c>
      <c r="CF221" s="506" t="s">
        <v>282</v>
      </c>
      <c r="CG221" s="506" t="s">
        <v>283</v>
      </c>
      <c r="CH221" s="506" t="s">
        <v>284</v>
      </c>
      <c r="CI221" s="506" t="s">
        <v>545</v>
      </c>
      <c r="CJ221" s="507"/>
      <c r="CK221" s="507"/>
      <c r="CL221" s="506" t="s">
        <v>422</v>
      </c>
      <c r="CM221" s="506" t="s">
        <v>516</v>
      </c>
      <c r="CN221" s="506" t="s">
        <v>423</v>
      </c>
      <c r="CO221" s="508" t="s">
        <v>517</v>
      </c>
    </row>
    <row r="222" spans="1:93" s="16" customFormat="1" ht="27" customHeight="1" x14ac:dyDescent="0.2">
      <c r="A222" s="229" t="s">
        <v>5</v>
      </c>
      <c r="B222" s="185" t="s">
        <v>28</v>
      </c>
      <c r="C222" s="294" t="s">
        <v>5</v>
      </c>
      <c r="D222" s="174" t="s">
        <v>119</v>
      </c>
      <c r="E222" s="174" t="s">
        <v>498</v>
      </c>
      <c r="F222" s="174" t="s">
        <v>268</v>
      </c>
      <c r="G222" s="174" t="s">
        <v>60</v>
      </c>
      <c r="H222" s="174"/>
      <c r="I222" s="174" t="s">
        <v>28</v>
      </c>
      <c r="J222" s="174" t="s">
        <v>15</v>
      </c>
      <c r="K222" s="174" t="s">
        <v>269</v>
      </c>
      <c r="L222" s="174" t="s">
        <v>61</v>
      </c>
      <c r="M222" s="174" t="s">
        <v>5</v>
      </c>
      <c r="N222" s="174" t="s">
        <v>28</v>
      </c>
      <c r="O222" s="174" t="s">
        <v>15</v>
      </c>
      <c r="P222" s="174" t="s">
        <v>269</v>
      </c>
      <c r="Q222" s="174" t="s">
        <v>61</v>
      </c>
      <c r="R222" s="174" t="s">
        <v>5</v>
      </c>
      <c r="S222" s="221" t="s">
        <v>16</v>
      </c>
      <c r="T222" s="221" t="s">
        <v>16</v>
      </c>
      <c r="U222" s="509" t="s">
        <v>59</v>
      </c>
      <c r="V222" s="509" t="s">
        <v>5</v>
      </c>
      <c r="W222" s="510" t="s">
        <v>60</v>
      </c>
      <c r="X222" s="510" t="s">
        <v>60</v>
      </c>
      <c r="Y222" s="510" t="s">
        <v>60</v>
      </c>
      <c r="Z222" s="511" t="s">
        <v>60</v>
      </c>
      <c r="AA222" s="511" t="s">
        <v>60</v>
      </c>
      <c r="AB222" s="511" t="s">
        <v>60</v>
      </c>
      <c r="AC222" s="510" t="s">
        <v>60</v>
      </c>
      <c r="AD222" s="510" t="s">
        <v>60</v>
      </c>
      <c r="AE222" s="510"/>
      <c r="AF222" s="511" t="s">
        <v>60</v>
      </c>
      <c r="AG222" s="511" t="s">
        <v>60</v>
      </c>
      <c r="AH222" s="511" t="s">
        <v>60</v>
      </c>
      <c r="AI222" s="512"/>
      <c r="AJ222" s="512" t="s">
        <v>17</v>
      </c>
      <c r="AK222" s="512" t="s">
        <v>18</v>
      </c>
      <c r="AL222" s="513" t="s">
        <v>51</v>
      </c>
      <c r="AM222" s="514" t="s">
        <v>60</v>
      </c>
      <c r="AN222" s="515" t="s">
        <v>52</v>
      </c>
      <c r="AO222" s="516" t="s">
        <v>18</v>
      </c>
      <c r="AP222" s="516" t="s">
        <v>18</v>
      </c>
      <c r="AQ222" s="517" t="s">
        <v>60</v>
      </c>
      <c r="AR222" s="517" t="s">
        <v>18</v>
      </c>
      <c r="AS222" s="517" t="s">
        <v>18</v>
      </c>
      <c r="AT222" s="517" t="s">
        <v>17</v>
      </c>
      <c r="AU222" s="517" t="s">
        <v>538</v>
      </c>
      <c r="AV222" s="517" t="s">
        <v>59</v>
      </c>
      <c r="AW222" s="517" t="s">
        <v>18</v>
      </c>
      <c r="AX222" s="517" t="s">
        <v>59</v>
      </c>
      <c r="AY222" s="517" t="s">
        <v>59</v>
      </c>
      <c r="AZ222" s="517" t="s">
        <v>59</v>
      </c>
      <c r="BA222" s="517" t="s">
        <v>59</v>
      </c>
      <c r="BB222" s="517" t="s">
        <v>59</v>
      </c>
      <c r="BC222" s="512" t="s">
        <v>59</v>
      </c>
      <c r="BD222" s="518"/>
      <c r="BE222" s="512" t="s">
        <v>17</v>
      </c>
      <c r="BF222" s="512" t="s">
        <v>18</v>
      </c>
      <c r="BG222" s="513" t="s">
        <v>51</v>
      </c>
      <c r="BH222" s="514" t="s">
        <v>60</v>
      </c>
      <c r="BI222" s="515" t="s">
        <v>52</v>
      </c>
      <c r="BJ222" s="516" t="s">
        <v>18</v>
      </c>
      <c r="BK222" s="516" t="s">
        <v>18</v>
      </c>
      <c r="BL222" s="517" t="s">
        <v>60</v>
      </c>
      <c r="BM222" s="517" t="s">
        <v>18</v>
      </c>
      <c r="BN222" s="517" t="s">
        <v>18</v>
      </c>
      <c r="BO222" s="517" t="s">
        <v>17</v>
      </c>
      <c r="BP222" s="517" t="s">
        <v>538</v>
      </c>
      <c r="BQ222" s="517" t="s">
        <v>18</v>
      </c>
      <c r="BR222" s="517" t="s">
        <v>59</v>
      </c>
      <c r="BS222" s="517" t="s">
        <v>59</v>
      </c>
      <c r="BT222" s="517" t="s">
        <v>59</v>
      </c>
      <c r="BU222" s="517" t="s">
        <v>59</v>
      </c>
      <c r="BV222" s="517" t="s">
        <v>59</v>
      </c>
      <c r="BW222" s="519" t="s">
        <v>386</v>
      </c>
      <c r="BX222" s="519" t="s">
        <v>386</v>
      </c>
      <c r="BY222" s="519" t="s">
        <v>387</v>
      </c>
      <c r="BZ222" s="519" t="s">
        <v>387</v>
      </c>
      <c r="CA222" s="519" t="s">
        <v>59</v>
      </c>
      <c r="CB222" s="520"/>
      <c r="CC222" s="623" t="s">
        <v>59</v>
      </c>
      <c r="CD222" s="520" t="s">
        <v>59</v>
      </c>
      <c r="CE222" s="520" t="s">
        <v>59</v>
      </c>
      <c r="CF222" s="520" t="s">
        <v>59</v>
      </c>
      <c r="CG222" s="520" t="s">
        <v>386</v>
      </c>
      <c r="CH222" s="520" t="s">
        <v>387</v>
      </c>
      <c r="CI222" s="520" t="s">
        <v>59</v>
      </c>
      <c r="CJ222" s="521"/>
      <c r="CK222" s="521"/>
      <c r="CL222" s="520" t="s">
        <v>28</v>
      </c>
      <c r="CM222" s="520" t="s">
        <v>59</v>
      </c>
      <c r="CN222" s="520" t="s">
        <v>28</v>
      </c>
      <c r="CO222" s="522" t="s">
        <v>59</v>
      </c>
    </row>
    <row r="223" spans="1:93" x14ac:dyDescent="0.2">
      <c r="A223" s="230"/>
      <c r="B223" s="164"/>
      <c r="C223" s="230"/>
      <c r="D223" s="169"/>
      <c r="E223" s="165"/>
      <c r="F223" s="165"/>
      <c r="G223" s="165"/>
      <c r="H223" s="165"/>
      <c r="I223" s="166"/>
      <c r="J223" s="167"/>
      <c r="K223" s="166"/>
      <c r="L223" s="166"/>
      <c r="M223" s="167"/>
      <c r="N223" s="166"/>
      <c r="O223" s="166"/>
      <c r="P223" s="166"/>
      <c r="Q223" s="167"/>
      <c r="R223" s="167"/>
      <c r="S223" s="222" t="str">
        <f>IF(ISBLANK(A223),"",IF(ISNA(VLOOKUP(I223,Veg_Parameters!$A$3:$N$65,3,FALSE)),0,(VLOOKUP(I223,Veg_Parameters!$A$3:$N$65,3,FALSE))))</f>
        <v/>
      </c>
      <c r="T223" s="222" t="str">
        <f>IF(ISBLANK(N223),"",IF(ISNA(VLOOKUP(N223,Veg_Parameters!$A$3:$N$65,3,FALSE)),0,(VLOOKUP(N223,Veg_Parameters!$A$3:$N$65,3,FALSE))))</f>
        <v/>
      </c>
      <c r="U223" s="523">
        <f>IF(ISBLANK(A223),0,0.092903*D223)</f>
        <v>0</v>
      </c>
      <c r="V223" s="523">
        <f t="shared" ref="V223:V247" si="323">IF(ISBLANK(A223),0, IF(F223="H", 5, IF(F223="M", 3, IF(F223="L", 1.5, 0))))</f>
        <v>0</v>
      </c>
      <c r="W223" s="524">
        <f>IF(ISBLANK(A223),0,IF(ISNA(VLOOKUP($I223,Veg_Parameters!$A$3:$N$65,10,FALSE)),0,(VLOOKUP($I223,Veg_Parameters!$A$3:$N$65,10,FALSE))))</f>
        <v>0</v>
      </c>
      <c r="X223" s="524">
        <f>IF(ISBLANK(A223),0,IF(ISNA(VLOOKUP($I223,Veg_Parameters!$A$3:$N$65,11,FALSE)),0,(VLOOKUP($I223,Veg_Parameters!$A$3:$N$65,11,FALSE))))</f>
        <v>0</v>
      </c>
      <c r="Y223" s="524">
        <f>IF(ISBLANK(A223),0,IF(ISNA(VLOOKUP($I223,Veg_Parameters!$A$3:$N$65,12,FALSE)),0,(VLOOKUP($I223,Veg_Parameters!$A$3:$N$65,12,FALSE))))</f>
        <v>0</v>
      </c>
      <c r="Z223" s="525">
        <f t="shared" ref="Z223:Z247" si="324">IF($E223="C",$W223,IF($E223="F",$X223,IF($E223="M",1,0)))</f>
        <v>0</v>
      </c>
      <c r="AA223" s="525">
        <f t="shared" ref="AA223:AA247" si="325">IF(ISBLANK(E223), 0, IF($O$9="L", $Y223, IF($O$9 = "H", 1, IF($O$9="M", 0.8, " "))))</f>
        <v>0</v>
      </c>
      <c r="AB223" s="525">
        <f t="shared" ref="AB223:AB247" si="326">IF(I223&gt;0, Z223*AA223, 0)</f>
        <v>0</v>
      </c>
      <c r="AC223" s="524">
        <f>IF(ISBLANK(N223),0,IF(ISNA(VLOOKUP($N223,Veg_Parameters!$A$3:$N$65,10,FALSE)),0,(VLOOKUP($N223,Veg_Parameters!$A$3:$N$65,10,FALSE))))</f>
        <v>0</v>
      </c>
      <c r="AD223" s="524">
        <f>IF(ISBLANK(N223),0,IF(ISNA(VLOOKUP($N223,Veg_Parameters!$A$3:$N$65,11,FALSE)),0,(VLOOKUP($N223,Veg_Parameters!$A$3:$N$65,11,FALSE))))</f>
        <v>0</v>
      </c>
      <c r="AE223" s="524">
        <f>IF(ISBLANK(N223), 0, IF(ISNA(VLOOKUP($N223,Veg_Parameters!$A$3:$N$65,12,FALSE)),0,(VLOOKUP($N223,Veg_Parameters!$A$3:$N$65,12,FALSE))))</f>
        <v>0</v>
      </c>
      <c r="AF223" s="523">
        <f t="shared" ref="AF223:AF247" si="327">IF(N223="", 0,IF($E223="C",W223,IF($E223="F",X223,IF($E223="M",1," "))))</f>
        <v>0</v>
      </c>
      <c r="AG223" s="523">
        <f t="shared" ref="AG223:AG247" si="328">IF(N223="", 0,IF($O$9="L", $AE223, IF($O$9 = "H", 1, IF($O$9="M", 0.8, ""))))</f>
        <v>0</v>
      </c>
      <c r="AH223" s="523">
        <f t="shared" ref="AH223:AH247" si="329">IF(N223&gt;0, AF223*AG223, 0)</f>
        <v>0</v>
      </c>
      <c r="AI223" s="526"/>
      <c r="AJ223" s="527">
        <f>AB223*(IF(ISNA(VLOOKUP($I223,Veg_Parameters!$A$3:$N$65,5,FALSE)),0,(VLOOKUP($I223,Veg_Parameters!$A$3:$N$65,5,FALSE))))</f>
        <v>0</v>
      </c>
      <c r="AK223" s="527">
        <f>IF(ISNA(VLOOKUP($I223,Veg_Parameters!$A$3:$N$65,4,FALSE)),0,(VLOOKUP($I223,Veg_Parameters!$A$3:$N$65,4,FALSE)))</f>
        <v>0</v>
      </c>
      <c r="AL223" s="527">
        <f>AB223*(IF(ISNA(VLOOKUP($I223,Veg_Parameters!$A$3:$N$65,7,FALSE)),0, (VLOOKUP($I223,Veg_Parameters!$A$3:$N$65,7,FALSE))))</f>
        <v>0</v>
      </c>
      <c r="AM223" s="528">
        <f>IF(ISNA(VLOOKUP($I223,Veg_Parameters!$A$3:$N$65,6,FALSE)), 0, (VLOOKUP($I223,Veg_Parameters!$A$3:$N$65,6,FALSE)))</f>
        <v>0</v>
      </c>
      <c r="AN223" s="529">
        <f t="shared" ref="AN223:AN247" si="330">IF($O$7=1,J223+$O$8,J223)</f>
        <v>20</v>
      </c>
      <c r="AO223" s="529">
        <f t="shared" ref="AO223:AO247" si="331">IF(AJ223&gt;0, AK223*(1-EXP(-AJ223*AN223/AK223)), 0)</f>
        <v>0</v>
      </c>
      <c r="AP223" s="529">
        <f t="shared" ref="AP223:AP247" si="332">IF(K223&gt;0, K223*0.3048, AO223)</f>
        <v>0</v>
      </c>
      <c r="AQ223" s="530">
        <f>IF(AL223&gt;0, AM223*(1-EXP(-AL223*AN223/AM223)), 0)</f>
        <v>0</v>
      </c>
      <c r="AR223" s="527" t="s">
        <v>3</v>
      </c>
      <c r="AS223" s="527">
        <f>IF(ISNA(VLOOKUP($I223,Veg_Parameters!$A$3:$N$65,8,FALSE)), 0, (VLOOKUP($I223,Veg_Parameters!$A$3:$N$65,8,FALSE)))</f>
        <v>0</v>
      </c>
      <c r="AT223" s="527">
        <f>AB223*(IF(ISNA(VLOOKUP($I223,Veg_Parameters!$A$3:$N$65,9,FALSE)), 0, (VLOOKUP($I223,Veg_Parameters!$A$3:$N$65,9,FALSE))))</f>
        <v>0</v>
      </c>
      <c r="AU223" s="527">
        <f>IF(ISBLANK(A223),0,VLOOKUP($I223,Veg_Parameters!$A$4:$U$65,21,))</f>
        <v>0</v>
      </c>
      <c r="AV223" s="527">
        <f>IF(OR(I223=3500,I223=3600),U223,0)</f>
        <v>0</v>
      </c>
      <c r="AW223" s="529">
        <f>IF(AT223&gt;0, AS223*(1-EXP(-AT223*AN223/AS223)),0)</f>
        <v>0</v>
      </c>
      <c r="AX223" s="529">
        <f>PI()*(0.5*AW223)^2</f>
        <v>0</v>
      </c>
      <c r="AY223" s="529">
        <f t="shared" ref="AY223:AY247" si="333">IF(AX223*L223*($D223/1000)&lt;$U223, AX223*L223*($D223/1000), $U223)</f>
        <v>0</v>
      </c>
      <c r="AZ223" s="529">
        <f>+IF(AP223&gt;4.6,AY223,0)</f>
        <v>0</v>
      </c>
      <c r="BA223" s="529">
        <f>IF(AND(AP223&gt;0.9,AP223&lt;4.6),AY223,IF(AP223&gt;4.6,0.5*AY223,0))</f>
        <v>0</v>
      </c>
      <c r="BB223" s="529">
        <f>IF(AND(AP223&gt;0,AP223&lt;0.9),AY223,IF(AND(AP223&gt;0.9,AP223&lt;4.6),AY223*0.5,IF(AP223&gt;4.6,AY223*0.25,0)))</f>
        <v>0</v>
      </c>
      <c r="BC223" s="529">
        <f t="shared" ref="BC223:BC247" si="334">IF(ISBLANK(A223),0,(AY223*AU223))</f>
        <v>0</v>
      </c>
      <c r="BD223" s="531"/>
      <c r="BE223" s="527">
        <f>AH223*(IF(ISNA(VLOOKUP($N223,Veg_Parameters!$A$3:$N$65,5,FALSE)),0,(VLOOKUP($N223,Veg_Parameters!$A$3:$N$65,5,FALSE))))</f>
        <v>0</v>
      </c>
      <c r="BF223" s="527">
        <f>IF(ISNA(VLOOKUP($N223,Veg_Parameters!$A$3:$N$65,4,FALSE)),0,(VLOOKUP($N223,Veg_Parameters!$A$3:$N$65,4,FALSE)))</f>
        <v>0</v>
      </c>
      <c r="BG223" s="527">
        <f>AH223*(IF(ISNA(VLOOKUP($N223,Veg_Parameters!$A$3:$N$65,7,FALSE)),0, (VLOOKUP($N223,Veg_Parameters!$A$3:$N$65,7,FALSE))))</f>
        <v>0</v>
      </c>
      <c r="BH223" s="527">
        <f>IF(ISNA(VLOOKUP($N223,Veg_Parameters!$A$3:$N$65,6,FALSE)), 0, (VLOOKUP($N223,Veg_Parameters!$A$3:$N$65,6,FALSE)))</f>
        <v>0</v>
      </c>
      <c r="BI223" s="529">
        <f t="shared" ref="BI223:BI247" si="335">IF($O$7=1,O223+$O$8,O223)</f>
        <v>20</v>
      </c>
      <c r="BJ223" s="529">
        <f>IF(BE223&gt;0, BF223*(1-EXP(-BE223*BI223/BF223)), 0)</f>
        <v>0</v>
      </c>
      <c r="BK223" s="529">
        <f t="shared" ref="BK223:BK247" si="336">IF(P223&gt;0, P223*0.3048, BJ223)</f>
        <v>0</v>
      </c>
      <c r="BL223" s="530">
        <f>IF(BG223&gt;0, BH223*(1-EXP(-BG223*BI223/BH223)), 0)</f>
        <v>0</v>
      </c>
      <c r="BM223" s="527" t="s">
        <v>3</v>
      </c>
      <c r="BN223" s="527">
        <f>IF(ISNA(VLOOKUP(N223,Veg_Parameters!$A$3:$N$65,8,FALSE)), 0, (VLOOKUP($N223,Veg_Parameters!$A$3:$N$65,8,FALSE)))</f>
        <v>0</v>
      </c>
      <c r="BO223" s="527">
        <f>AH223*(IF(ISNA(VLOOKUP($N223,Veg_Parameters!$A$3:$N$65,9,FALSE)), 0, (VLOOKUP($N223,Veg_Parameters!$A$3:$N$65,9,FALSE))))</f>
        <v>0</v>
      </c>
      <c r="BP223" s="527" t="str">
        <f>IF(ISBLANK(N223),"0",VLOOKUP($N223,Veg_Parameters!$A$4:$U$65,21,))</f>
        <v>0</v>
      </c>
      <c r="BQ223" s="529">
        <f>IF(BO223&gt;0, BN223*(1-EXP(-BO223*BI223/BN223)),0)</f>
        <v>0</v>
      </c>
      <c r="BR223" s="529">
        <f>PI()*(0.5*BQ223)^2</f>
        <v>0</v>
      </c>
      <c r="BS223" s="529">
        <f t="shared" ref="BS223:BS247" si="337">IF(BR223*Q223*($D223/1000)&lt;$U223, BR223*Q223*($D223/1000), $U223)</f>
        <v>0</v>
      </c>
      <c r="BT223" s="529">
        <f>+IF(BK223&gt;4.6,BS223,0)</f>
        <v>0</v>
      </c>
      <c r="BU223" s="529">
        <f>IF(AND(BK223&lt;4.6,BK223&gt;0.9),BS223,IF(BK223&gt;4.6,(0.5*BS223),0))</f>
        <v>0</v>
      </c>
      <c r="BV223" s="529">
        <f>IF(AND(BK223&gt;0,BK223&lt;0.9),BS223,IF(AND(BK223&gt;0.9,BK223&lt;4.6),BS223*0.5,IF(BK223&gt;4.6,(BS223*0.25),0)))</f>
        <v>0</v>
      </c>
      <c r="BW223" s="532" t="str">
        <f t="shared" ref="BW223:BW247" si="338">IF(AP223&gt;4.57,I223,"")</f>
        <v/>
      </c>
      <c r="BX223" s="532" t="str">
        <f t="shared" ref="BX223:BX247" si="339">IF(BK223&gt;4.57,N223,"")</f>
        <v/>
      </c>
      <c r="BY223" s="532" t="str">
        <f t="shared" ref="BY223:BY247" si="340">IF((AND(AP223&gt;0.76,AP223&lt;4.6)),I223,"")</f>
        <v/>
      </c>
      <c r="BZ223" s="532" t="str">
        <f t="shared" ref="BZ223:BZ247" si="341">IF((AND(BK223&gt;0.76,BK223&lt;4.6)),N223,"")</f>
        <v/>
      </c>
      <c r="CA223" s="532">
        <f t="shared" ref="CA223:CA247" si="342">IF(ISBLANK(N223),0,(BS223*BP223))</f>
        <v>0</v>
      </c>
      <c r="CB223" s="533"/>
      <c r="CC223" s="624">
        <f t="shared" ref="CC223:CC247" si="343">IF(ISERROR(IF((AY223+BS223)&lt;$U223,(AY223*AQ223+BS223*BL223),(((AQ223*AY223+BL223*BS223)/(AY223+BS223))*$U223))),0,IF((AY223+BS223)&lt;$U223,(AY223*AQ223+BS223*BL223),(((AQ223*AY223+BL223*BS223)/(AY223+BS223))*$U223)))</f>
        <v>0</v>
      </c>
      <c r="CD223" s="534">
        <f t="shared" ref="CD223:CD247" si="344">IF(ISERROR(IF((AZ223+BT223)&lt;$U223,(AQ223*AZ223+BT223*BL223),(((AQ223*AZ223+BL223*BT223)/(AZ223+BT223))*$U223))),0,IF((AZ223+BT223)&lt;$U223,(AQ223*AZ223+BT223*BL223),(((AQ223*AZ223+BL223*BT223)/(AZ223+BT223))*$U223)))</f>
        <v>0</v>
      </c>
      <c r="CE223" s="534">
        <f t="shared" ref="CE223:CE247" si="345">IF(ISERROR(IF((BA223+BU223)&lt;$U223,(AQ223*BA223+BL223*BU223),(((AQ223*BA223+BL223*BU223)/(BA223+BU223))*$U223))),0,IF((BA223+BU223)&lt;$U223,(AQ223*BA223+BL223*BU223),(((AQ223*BA223+BL223*BU223)/(BA223+BU223))*$U223)))</f>
        <v>0</v>
      </c>
      <c r="CF223" s="534">
        <f t="shared" ref="CF223:CF247" si="346">+IF(ISBLANK(A223),0,IF((BB223+BV223+(G223/100)*U223)&gt;U223,U223,(BB223+BV223+(G223/100)*U223)))</f>
        <v>0</v>
      </c>
      <c r="CG223" s="534"/>
      <c r="CH223" s="534"/>
      <c r="CI223" s="534">
        <f>BC223+CA223</f>
        <v>0</v>
      </c>
      <c r="CL223" s="534">
        <f>IF(ISNA(VLOOKUP(I223,Veg_Parameters!$A$3:$N$65,13,FALSE)),0,(VLOOKUP(I223,Veg_Parameters!$A$3:$N$65,13,FALSE)))</f>
        <v>0</v>
      </c>
      <c r="CM223" s="534">
        <f>+IF(ISBLANK(A223),0,IF(CL223="H",BB223,0))</f>
        <v>0</v>
      </c>
      <c r="CN223" s="534">
        <f>IF(ISNA(VLOOKUP(N223,Veg_Parameters!$A$3:$N$65,13,FALSE)),0,(VLOOKUP(N223,Veg_Parameters!$A$3:$N$65,13,FALSE)))</f>
        <v>0</v>
      </c>
      <c r="CO223" s="523">
        <f>+IF(ISBLANK(A223),0, IF(CN223="H", BV223, 0))</f>
        <v>0</v>
      </c>
    </row>
    <row r="224" spans="1:93" x14ac:dyDescent="0.2">
      <c r="A224" s="230"/>
      <c r="B224" s="171" t="str">
        <f>IF(ISBLANK(A224),"",$B$223)</f>
        <v/>
      </c>
      <c r="C224" s="230"/>
      <c r="D224" s="169"/>
      <c r="E224" s="165"/>
      <c r="F224" s="165"/>
      <c r="G224" s="165"/>
      <c r="H224" s="165"/>
      <c r="I224" s="166"/>
      <c r="J224" s="167"/>
      <c r="K224" s="166"/>
      <c r="L224" s="166"/>
      <c r="M224" s="167"/>
      <c r="N224" s="166"/>
      <c r="O224" s="166"/>
      <c r="P224" s="167"/>
      <c r="Q224" s="167"/>
      <c r="R224" s="167"/>
      <c r="S224" s="222" t="str">
        <f>IF(ISBLANK(A224),"",IF(ISNA(VLOOKUP(I224,Veg_Parameters!$A$3:$N$65,3,FALSE)),0,(VLOOKUP(I224,Veg_Parameters!$A$3:$N$65,3,FALSE))))</f>
        <v/>
      </c>
      <c r="T224" s="222" t="str">
        <f>IF(ISBLANK(N224),"",IF(ISNA(VLOOKUP(N224,Veg_Parameters!$A$3:$N$65,3,FALSE)),0,(VLOOKUP(N224,Veg_Parameters!$A$3:$N$65,3,FALSE))))</f>
        <v/>
      </c>
      <c r="U224" s="523">
        <f t="shared" ref="U224:U247" si="347">IF(ISBLANK(A224),0,0.092903*D224)</f>
        <v>0</v>
      </c>
      <c r="V224" s="523">
        <f t="shared" si="323"/>
        <v>0</v>
      </c>
      <c r="W224" s="524">
        <f>IF(ISBLANK(A224),0,IF(ISNA(VLOOKUP($I224,Veg_Parameters!$A$3:$N$65,10,FALSE)),0,(VLOOKUP($I224,Veg_Parameters!$A$3:$N$65,10,FALSE))))</f>
        <v>0</v>
      </c>
      <c r="X224" s="524">
        <f>IF(ISBLANK(A224),0,IF(ISNA(VLOOKUP($I224,Veg_Parameters!$A$3:$N$65,11,FALSE)),0,(VLOOKUP($I224,Veg_Parameters!$A$3:$N$65,11,FALSE))))</f>
        <v>0</v>
      </c>
      <c r="Y224" s="524">
        <f>IF(ISBLANK(A224),0,IF(ISNA(VLOOKUP($I224,Veg_Parameters!$A$3:$N$65,12,FALSE)),0,(VLOOKUP($I224,Veg_Parameters!$A$3:$N$65,12,FALSE))))</f>
        <v>0</v>
      </c>
      <c r="Z224" s="525">
        <f t="shared" si="324"/>
        <v>0</v>
      </c>
      <c r="AA224" s="525">
        <f t="shared" si="325"/>
        <v>0</v>
      </c>
      <c r="AB224" s="525">
        <f t="shared" si="326"/>
        <v>0</v>
      </c>
      <c r="AC224" s="524">
        <f>IF(ISBLANK(N224),0,IF(ISNA(VLOOKUP($N224,Veg_Parameters!$A$3:$N$65,10,FALSE)),0,(VLOOKUP($N224,Veg_Parameters!$A$3:$N$65,10,FALSE))))</f>
        <v>0</v>
      </c>
      <c r="AD224" s="524">
        <f>IF(ISBLANK(N224),0,IF(ISNA(VLOOKUP($N224,Veg_Parameters!$A$3:$N$65,11,FALSE)),0,(VLOOKUP($N224,Veg_Parameters!$A$3:$N$65,11,FALSE))))</f>
        <v>0</v>
      </c>
      <c r="AE224" s="524">
        <f>IF(ISBLANK(N224), 0, IF(ISNA(VLOOKUP($N224,Veg_Parameters!$A$3:$N$65,12,FALSE)),0,(VLOOKUP($N224,Veg_Parameters!$A$3:$N$65,12,FALSE))))</f>
        <v>0</v>
      </c>
      <c r="AF224" s="523">
        <f t="shared" si="327"/>
        <v>0</v>
      </c>
      <c r="AG224" s="523">
        <f t="shared" si="328"/>
        <v>0</v>
      </c>
      <c r="AH224" s="523">
        <f t="shared" si="329"/>
        <v>0</v>
      </c>
      <c r="AI224" s="526"/>
      <c r="AJ224" s="527">
        <f>AB224*(IF(ISNA(VLOOKUP($I224,Veg_Parameters!$A$3:$N$65,5,FALSE)),0,(VLOOKUP($I224,Veg_Parameters!$A$3:$N$65,5,FALSE))))</f>
        <v>0</v>
      </c>
      <c r="AK224" s="527">
        <f>IF(ISNA(VLOOKUP($I224,Veg_Parameters!$A$3:$N$65,4,FALSE)),0,(VLOOKUP($I224,Veg_Parameters!$A$3:$N$65,4,FALSE)))</f>
        <v>0</v>
      </c>
      <c r="AL224" s="527">
        <f>AB224*(IF(ISNA(VLOOKUP($I224,Veg_Parameters!$A$3:$N$65,7,FALSE)),0, (VLOOKUP($I224,Veg_Parameters!$A$3:$N$65,7,FALSE))))</f>
        <v>0</v>
      </c>
      <c r="AM224" s="528">
        <f>IF(ISNA(VLOOKUP($I224,Veg_Parameters!$A$3:$N$65,6,FALSE)), 0, (VLOOKUP($I224,Veg_Parameters!$A$3:$N$65,6,FALSE)))</f>
        <v>0</v>
      </c>
      <c r="AN224" s="529">
        <f t="shared" si="330"/>
        <v>20</v>
      </c>
      <c r="AO224" s="529">
        <f t="shared" si="331"/>
        <v>0</v>
      </c>
      <c r="AP224" s="529">
        <f t="shared" si="332"/>
        <v>0</v>
      </c>
      <c r="AQ224" s="530">
        <f t="shared" ref="AQ224:AQ247" si="348">IF(AL224&gt;0, AM224*(1-EXP(-AL224*AN224/AM224)), 0)</f>
        <v>0</v>
      </c>
      <c r="AR224" s="527" t="s">
        <v>3</v>
      </c>
      <c r="AS224" s="527">
        <f>IF(ISNA(VLOOKUP($I224,Veg_Parameters!$A$3:$N$65,8,FALSE)), 0, (VLOOKUP($I224,Veg_Parameters!$A$3:$N$65,8,FALSE)))</f>
        <v>0</v>
      </c>
      <c r="AT224" s="527">
        <f>AB224*(IF(ISNA(VLOOKUP($I224,Veg_Parameters!$A$3:$N$65,9,FALSE)), 0, (VLOOKUP($I224,Veg_Parameters!$A$3:$N$65,9,FALSE))))</f>
        <v>0</v>
      </c>
      <c r="AU224" s="527">
        <f>IF(ISBLANK(A224),0,VLOOKUP($I224,Veg_Parameters!$A$4:$U$65,21,))</f>
        <v>0</v>
      </c>
      <c r="AV224" s="527">
        <f t="shared" ref="AV224:AV247" si="349">IF(OR(I224=3500,I224=3600),U224,0)</f>
        <v>0</v>
      </c>
      <c r="AW224" s="529">
        <f t="shared" ref="AW224:AW247" si="350">IF(AT224&gt;0, AS224*(1-EXP(-AT224*AN224/AS224)),0)</f>
        <v>0</v>
      </c>
      <c r="AX224" s="529">
        <f t="shared" ref="AX224:AX247" si="351">PI()*(0.5*AW224)^2</f>
        <v>0</v>
      </c>
      <c r="AY224" s="529">
        <f t="shared" si="333"/>
        <v>0</v>
      </c>
      <c r="AZ224" s="529">
        <f t="shared" ref="AZ224:AZ247" si="352">+IF(AP224&gt;4.6,AY224,0)</f>
        <v>0</v>
      </c>
      <c r="BA224" s="529">
        <f t="shared" ref="BA224:BA247" si="353">IF(AND(AP224&gt;0.9,AP224&lt;4.6),AY224,IF(AP224&gt;4.6,0.5*AY224,0))</f>
        <v>0</v>
      </c>
      <c r="BB224" s="529">
        <f t="shared" ref="BB224:BB247" si="354">IF(AND(AP224&gt;0,AP224&lt;0.9),AY224,IF(AND(AP224&gt;0.9,AP224&lt;4.6),AY224*0.5,IF(AP224&gt;4.6,AY224*0.25,0)))</f>
        <v>0</v>
      </c>
      <c r="BC224" s="529">
        <f t="shared" si="334"/>
        <v>0</v>
      </c>
      <c r="BD224" s="531"/>
      <c r="BE224" s="527">
        <f>AH224*(IF(ISNA(VLOOKUP($N224,Veg_Parameters!$A$3:$N$65,5,FALSE)),0,(VLOOKUP($N224,Veg_Parameters!$A$3:$N$65,5,FALSE))))</f>
        <v>0</v>
      </c>
      <c r="BF224" s="527">
        <f>IF(ISNA(VLOOKUP($N224,Veg_Parameters!$A$3:$N$65,4,FALSE)),0,(VLOOKUP($N224,Veg_Parameters!$A$3:$N$65,4,FALSE)))</f>
        <v>0</v>
      </c>
      <c r="BG224" s="527">
        <f>AH224*(IF(ISNA(VLOOKUP($N224,Veg_Parameters!$A$3:$N$65,7,FALSE)),0, (VLOOKUP($N224,Veg_Parameters!$A$3:$N$65,7,FALSE))))</f>
        <v>0</v>
      </c>
      <c r="BH224" s="527">
        <f>IF(ISNA(VLOOKUP($N224,Veg_Parameters!$A$3:$N$65,6,FALSE)), 0, (VLOOKUP($N224,Veg_Parameters!$A$3:$N$65,6,FALSE)))</f>
        <v>0</v>
      </c>
      <c r="BI224" s="529">
        <f t="shared" si="335"/>
        <v>20</v>
      </c>
      <c r="BJ224" s="529">
        <f t="shared" ref="BJ224:BJ247" si="355">IF(BE224&gt;0, BF224*(1-EXP(-BE224*BI224/BF224)), 0)</f>
        <v>0</v>
      </c>
      <c r="BK224" s="529">
        <f t="shared" si="336"/>
        <v>0</v>
      </c>
      <c r="BL224" s="530">
        <f t="shared" ref="BL224:BL247" si="356">IF(BG224&gt;0, BH224*(1-EXP(-BG224*BI224/BH224)), 0)</f>
        <v>0</v>
      </c>
      <c r="BM224" s="527" t="s">
        <v>3</v>
      </c>
      <c r="BN224" s="527">
        <f>IF(ISNA(VLOOKUP(N224,Veg_Parameters!$A$3:$N$65,8,FALSE)), 0, (VLOOKUP($N224,Veg_Parameters!$A$3:$N$65,8,FALSE)))</f>
        <v>0</v>
      </c>
      <c r="BO224" s="527">
        <f>AH224*(IF(ISNA(VLOOKUP($N224,Veg_Parameters!$A$3:$N$65,9,FALSE)), 0, (VLOOKUP($N224,Veg_Parameters!$A$3:$N$65,9,FALSE))))</f>
        <v>0</v>
      </c>
      <c r="BP224" s="527" t="str">
        <f>IF(ISBLANK(N224),"0",VLOOKUP($N224,Veg_Parameters!$A$4:$U$65,21,))</f>
        <v>0</v>
      </c>
      <c r="BQ224" s="529">
        <f t="shared" ref="BQ224:BQ247" si="357">IF(BO224&gt;0, BN224*(1-EXP(-BO224*BI224/BN224)),0)</f>
        <v>0</v>
      </c>
      <c r="BR224" s="529">
        <f t="shared" ref="BR224:BR247" si="358">PI()*(0.5*BQ224)^2</f>
        <v>0</v>
      </c>
      <c r="BS224" s="529">
        <f t="shared" si="337"/>
        <v>0</v>
      </c>
      <c r="BT224" s="529">
        <f t="shared" ref="BT224:BT247" si="359">+IF(BK224&gt;4.6,BS224,0)</f>
        <v>0</v>
      </c>
      <c r="BU224" s="529">
        <f t="shared" ref="BU224:BU247" si="360">IF(AND(BK224&lt;4.6,BK224&gt;0.9),BS224,IF(BK224&gt;4.6,(0.5*BS224),0))</f>
        <v>0</v>
      </c>
      <c r="BV224" s="529">
        <f t="shared" ref="BV224:BV247" si="361">IF(AND(BK224&gt;0,BK224&lt;0.9),BS224,IF(AND(BK224&gt;0.9,BK224&lt;4.6),BS224*0.5,IF(BK224&gt;4.6,(BS224*0.25),0)))</f>
        <v>0</v>
      </c>
      <c r="BW224" s="532" t="str">
        <f t="shared" si="338"/>
        <v/>
      </c>
      <c r="BX224" s="532" t="str">
        <f t="shared" si="339"/>
        <v/>
      </c>
      <c r="BY224" s="532" t="str">
        <f t="shared" si="340"/>
        <v/>
      </c>
      <c r="BZ224" s="532" t="str">
        <f t="shared" si="341"/>
        <v/>
      </c>
      <c r="CA224" s="532">
        <f t="shared" si="342"/>
        <v>0</v>
      </c>
      <c r="CB224" s="533"/>
      <c r="CC224" s="624">
        <f t="shared" si="343"/>
        <v>0</v>
      </c>
      <c r="CD224" s="534">
        <f t="shared" si="344"/>
        <v>0</v>
      </c>
      <c r="CE224" s="534">
        <f t="shared" si="345"/>
        <v>0</v>
      </c>
      <c r="CF224" s="534">
        <f t="shared" si="346"/>
        <v>0</v>
      </c>
      <c r="CG224" s="534"/>
      <c r="CH224" s="534"/>
      <c r="CI224" s="534">
        <f t="shared" ref="CI224:CI247" si="362">BC224+CA224</f>
        <v>0</v>
      </c>
      <c r="CL224" s="534">
        <f>IF(ISNA(VLOOKUP(I224,Veg_Parameters!$A$3:$N$65,13,FALSE)),0,(VLOOKUP(I224,Veg_Parameters!$A$3:$N$65,13,FALSE)))</f>
        <v>0</v>
      </c>
      <c r="CM224" s="534">
        <f t="shared" ref="CM224:CM247" si="363">+IF(ISBLANK(A224),0,IF(CL224="H",BB224,0))</f>
        <v>0</v>
      </c>
      <c r="CN224" s="534">
        <f>IF(ISNA(VLOOKUP(N224,Veg_Parameters!$A$3:$N$65,13,FALSE)),0,(VLOOKUP(N224,Veg_Parameters!$A$3:$N$65,13,FALSE)))</f>
        <v>0</v>
      </c>
      <c r="CO224" s="523">
        <f t="shared" ref="CO224:CO247" si="364">+IF(ISBLANK(A224),0, IF(CN224="H", BV224, 0))</f>
        <v>0</v>
      </c>
    </row>
    <row r="225" spans="1:93" x14ac:dyDescent="0.2">
      <c r="A225" s="230"/>
      <c r="B225" s="171" t="str">
        <f t="shared" ref="B225:B247" si="365">IF(ISBLANK(A225),"",$B$223)</f>
        <v/>
      </c>
      <c r="C225" s="230"/>
      <c r="D225" s="169"/>
      <c r="E225" s="165"/>
      <c r="F225" s="165"/>
      <c r="G225" s="165"/>
      <c r="H225" s="165"/>
      <c r="I225" s="168"/>
      <c r="J225" s="167"/>
      <c r="K225" s="166"/>
      <c r="L225" s="166"/>
      <c r="M225" s="167"/>
      <c r="N225" s="168"/>
      <c r="O225" s="168"/>
      <c r="P225" s="167"/>
      <c r="Q225" s="167"/>
      <c r="R225" s="167"/>
      <c r="S225" s="222" t="str">
        <f>IF(ISBLANK(A225),"",IF(ISNA(VLOOKUP(I225,Veg_Parameters!$A$3:$N$65,3,FALSE)),0,(VLOOKUP(I225,Veg_Parameters!$A$3:$N$65,3,FALSE))))</f>
        <v/>
      </c>
      <c r="T225" s="222" t="str">
        <f>IF(ISBLANK(N225),"",IF(ISNA(VLOOKUP(N225,Veg_Parameters!$A$3:$N$65,3,FALSE)),0,(VLOOKUP(N225,Veg_Parameters!$A$3:$N$65,3,FALSE))))</f>
        <v/>
      </c>
      <c r="U225" s="523">
        <f t="shared" si="347"/>
        <v>0</v>
      </c>
      <c r="V225" s="523">
        <f t="shared" si="323"/>
        <v>0</v>
      </c>
      <c r="W225" s="524">
        <f>IF(ISBLANK(A225),0,IF(ISNA(VLOOKUP($I225,Veg_Parameters!$A$3:$N$65,10,FALSE)),0,(VLOOKUP($I225,Veg_Parameters!$A$3:$N$65,10,FALSE))))</f>
        <v>0</v>
      </c>
      <c r="X225" s="524">
        <f>IF(ISBLANK(A225),0,IF(ISNA(VLOOKUP($I225,Veg_Parameters!$A$3:$N$65,11,FALSE)),0,(VLOOKUP($I225,Veg_Parameters!$A$3:$N$65,11,FALSE))))</f>
        <v>0</v>
      </c>
      <c r="Y225" s="524">
        <f>IF(ISBLANK(A225),0,IF(ISNA(VLOOKUP($I225,Veg_Parameters!$A$3:$N$65,12,FALSE)),0,(VLOOKUP($I225,Veg_Parameters!$A$3:$N$65,12,FALSE))))</f>
        <v>0</v>
      </c>
      <c r="Z225" s="525">
        <f t="shared" si="324"/>
        <v>0</v>
      </c>
      <c r="AA225" s="525">
        <f t="shared" si="325"/>
        <v>0</v>
      </c>
      <c r="AB225" s="525">
        <f t="shared" si="326"/>
        <v>0</v>
      </c>
      <c r="AC225" s="524">
        <f>IF(ISBLANK(N225),0,IF(ISNA(VLOOKUP($N225,Veg_Parameters!$A$3:$N$65,10,FALSE)),0,(VLOOKUP($N225,Veg_Parameters!$A$3:$N$65,10,FALSE))))</f>
        <v>0</v>
      </c>
      <c r="AD225" s="524">
        <f>IF(ISBLANK(N225),0,IF(ISNA(VLOOKUP($N225,Veg_Parameters!$A$3:$N$65,11,FALSE)),0,(VLOOKUP($N225,Veg_Parameters!$A$3:$N$65,11,FALSE))))</f>
        <v>0</v>
      </c>
      <c r="AE225" s="524">
        <f>IF(ISBLANK(N225), 0, IF(ISNA(VLOOKUP($N225,Veg_Parameters!$A$3:$N$65,12,FALSE)),0,(VLOOKUP($N225,Veg_Parameters!$A$3:$N$65,12,FALSE))))</f>
        <v>0</v>
      </c>
      <c r="AF225" s="523">
        <f t="shared" si="327"/>
        <v>0</v>
      </c>
      <c r="AG225" s="523">
        <f t="shared" si="328"/>
        <v>0</v>
      </c>
      <c r="AH225" s="523">
        <f t="shared" si="329"/>
        <v>0</v>
      </c>
      <c r="AI225" s="526"/>
      <c r="AJ225" s="527">
        <f>AB225*(IF(ISNA(VLOOKUP($I225,Veg_Parameters!$A$3:$N$65,5,FALSE)),0,(VLOOKUP($I225,Veg_Parameters!$A$3:$N$65,5,FALSE))))</f>
        <v>0</v>
      </c>
      <c r="AK225" s="527">
        <f>IF(ISNA(VLOOKUP($I225,Veg_Parameters!$A$3:$N$65,4,FALSE)),0,(VLOOKUP($I225,Veg_Parameters!$A$3:$N$65,4,FALSE)))</f>
        <v>0</v>
      </c>
      <c r="AL225" s="527">
        <f>AB225*(IF(ISNA(VLOOKUP($I225,Veg_Parameters!$A$3:$N$65,7,FALSE)),0, (VLOOKUP($I225,Veg_Parameters!$A$3:$N$65,7,FALSE))))</f>
        <v>0</v>
      </c>
      <c r="AM225" s="528">
        <f>IF(ISNA(VLOOKUP($I225,Veg_Parameters!$A$3:$N$65,6,FALSE)), 0, (VLOOKUP($I225,Veg_Parameters!$A$3:$N$65,6,FALSE)))</f>
        <v>0</v>
      </c>
      <c r="AN225" s="529">
        <f t="shared" si="330"/>
        <v>20</v>
      </c>
      <c r="AO225" s="529">
        <f t="shared" si="331"/>
        <v>0</v>
      </c>
      <c r="AP225" s="529">
        <f t="shared" si="332"/>
        <v>0</v>
      </c>
      <c r="AQ225" s="530">
        <f t="shared" si="348"/>
        <v>0</v>
      </c>
      <c r="AR225" s="527" t="s">
        <v>3</v>
      </c>
      <c r="AS225" s="527">
        <f>IF(ISNA(VLOOKUP($I225,Veg_Parameters!$A$3:$N$65,8,FALSE)), 0, (VLOOKUP($I225,Veg_Parameters!$A$3:$N$65,8,FALSE)))</f>
        <v>0</v>
      </c>
      <c r="AT225" s="527">
        <f>AB225*(IF(ISNA(VLOOKUP($I225,Veg_Parameters!$A$3:$N$65,9,FALSE)), 0, (VLOOKUP($I225,Veg_Parameters!$A$3:$N$65,9,FALSE))))</f>
        <v>0</v>
      </c>
      <c r="AU225" s="527">
        <f>IF(ISBLANK(A225),0,VLOOKUP($I225,Veg_Parameters!$A$4:$U$65,21,))</f>
        <v>0</v>
      </c>
      <c r="AV225" s="527">
        <f t="shared" si="349"/>
        <v>0</v>
      </c>
      <c r="AW225" s="529">
        <f t="shared" si="350"/>
        <v>0</v>
      </c>
      <c r="AX225" s="529">
        <f t="shared" si="351"/>
        <v>0</v>
      </c>
      <c r="AY225" s="529">
        <f t="shared" si="333"/>
        <v>0</v>
      </c>
      <c r="AZ225" s="529">
        <f t="shared" si="352"/>
        <v>0</v>
      </c>
      <c r="BA225" s="529">
        <f t="shared" si="353"/>
        <v>0</v>
      </c>
      <c r="BB225" s="529">
        <f t="shared" si="354"/>
        <v>0</v>
      </c>
      <c r="BC225" s="529">
        <f t="shared" si="334"/>
        <v>0</v>
      </c>
      <c r="BD225" s="531"/>
      <c r="BE225" s="527">
        <f>AH225*(IF(ISNA(VLOOKUP($N225,Veg_Parameters!$A$3:$N$65,5,FALSE)),0,(VLOOKUP($N225,Veg_Parameters!$A$3:$N$65,5,FALSE))))</f>
        <v>0</v>
      </c>
      <c r="BF225" s="527">
        <f>IF(ISNA(VLOOKUP($N225,Veg_Parameters!$A$3:$N$65,4,FALSE)),0,(VLOOKUP($N225,Veg_Parameters!$A$3:$N$65,4,FALSE)))</f>
        <v>0</v>
      </c>
      <c r="BG225" s="527">
        <f>AH225*(IF(ISNA(VLOOKUP($N225,Veg_Parameters!$A$3:$N$65,7,FALSE)),0, (VLOOKUP($N225,Veg_Parameters!$A$3:$N$65,7,FALSE))))</f>
        <v>0</v>
      </c>
      <c r="BH225" s="527">
        <f>IF(ISNA(VLOOKUP($N225,Veg_Parameters!$A$3:$N$65,6,FALSE)), 0, (VLOOKUP($N225,Veg_Parameters!$A$3:$N$65,6,FALSE)))</f>
        <v>0</v>
      </c>
      <c r="BI225" s="529">
        <f t="shared" si="335"/>
        <v>20</v>
      </c>
      <c r="BJ225" s="529">
        <f t="shared" si="355"/>
        <v>0</v>
      </c>
      <c r="BK225" s="529">
        <f t="shared" si="336"/>
        <v>0</v>
      </c>
      <c r="BL225" s="530">
        <f t="shared" si="356"/>
        <v>0</v>
      </c>
      <c r="BM225" s="527" t="s">
        <v>3</v>
      </c>
      <c r="BN225" s="527">
        <f>IF(ISNA(VLOOKUP(N225,Veg_Parameters!$A$3:$N$65,8,FALSE)), 0, (VLOOKUP($N225,Veg_Parameters!$A$3:$N$65,8,FALSE)))</f>
        <v>0</v>
      </c>
      <c r="BO225" s="527">
        <f>AH225*(IF(ISNA(VLOOKUP($N225,Veg_Parameters!$A$3:$N$65,9,FALSE)), 0, (VLOOKUP($N225,Veg_Parameters!$A$3:$N$65,9,FALSE))))</f>
        <v>0</v>
      </c>
      <c r="BP225" s="527" t="str">
        <f>IF(ISBLANK(N225),"0",VLOOKUP($N225,Veg_Parameters!$A$4:$U$65,21,))</f>
        <v>0</v>
      </c>
      <c r="BQ225" s="529">
        <f t="shared" si="357"/>
        <v>0</v>
      </c>
      <c r="BR225" s="529">
        <f t="shared" si="358"/>
        <v>0</v>
      </c>
      <c r="BS225" s="529">
        <f t="shared" si="337"/>
        <v>0</v>
      </c>
      <c r="BT225" s="529">
        <f t="shared" si="359"/>
        <v>0</v>
      </c>
      <c r="BU225" s="529">
        <f t="shared" si="360"/>
        <v>0</v>
      </c>
      <c r="BV225" s="529">
        <f t="shared" si="361"/>
        <v>0</v>
      </c>
      <c r="BW225" s="532" t="str">
        <f t="shared" si="338"/>
        <v/>
      </c>
      <c r="BX225" s="532" t="str">
        <f t="shared" si="339"/>
        <v/>
      </c>
      <c r="BY225" s="532" t="str">
        <f t="shared" si="340"/>
        <v/>
      </c>
      <c r="BZ225" s="532" t="str">
        <f t="shared" si="341"/>
        <v/>
      </c>
      <c r="CA225" s="532">
        <f t="shared" si="342"/>
        <v>0</v>
      </c>
      <c r="CB225" s="533"/>
      <c r="CC225" s="624">
        <f t="shared" si="343"/>
        <v>0</v>
      </c>
      <c r="CD225" s="534">
        <f t="shared" si="344"/>
        <v>0</v>
      </c>
      <c r="CE225" s="534">
        <f t="shared" si="345"/>
        <v>0</v>
      </c>
      <c r="CF225" s="534">
        <f t="shared" si="346"/>
        <v>0</v>
      </c>
      <c r="CG225" s="534"/>
      <c r="CH225" s="534"/>
      <c r="CI225" s="534">
        <f t="shared" si="362"/>
        <v>0</v>
      </c>
      <c r="CL225" s="534">
        <f>IF(ISNA(VLOOKUP(I225,Veg_Parameters!$A$3:$N$65,13,FALSE)),0,(VLOOKUP(I225,Veg_Parameters!$A$3:$N$65,13,FALSE)))</f>
        <v>0</v>
      </c>
      <c r="CM225" s="534">
        <f t="shared" si="363"/>
        <v>0</v>
      </c>
      <c r="CN225" s="534">
        <f>IF(ISNA(VLOOKUP(N225,Veg_Parameters!$A$3:$N$65,13,FALSE)),0,(VLOOKUP(N225,Veg_Parameters!$A$3:$N$65,13,FALSE)))</f>
        <v>0</v>
      </c>
      <c r="CO225" s="523">
        <f t="shared" si="364"/>
        <v>0</v>
      </c>
    </row>
    <row r="226" spans="1:93" x14ac:dyDescent="0.2">
      <c r="A226" s="230"/>
      <c r="B226" s="171" t="str">
        <f t="shared" si="365"/>
        <v/>
      </c>
      <c r="C226" s="230"/>
      <c r="D226" s="169"/>
      <c r="E226" s="165"/>
      <c r="F226" s="165"/>
      <c r="G226" s="165"/>
      <c r="H226" s="165"/>
      <c r="I226" s="168"/>
      <c r="J226" s="167"/>
      <c r="K226" s="168"/>
      <c r="L226" s="167"/>
      <c r="M226" s="167"/>
      <c r="N226" s="168"/>
      <c r="O226" s="168"/>
      <c r="P226" s="167"/>
      <c r="Q226" s="167"/>
      <c r="R226" s="167"/>
      <c r="S226" s="222" t="str">
        <f>IF(ISBLANK(A226),"",IF(ISNA(VLOOKUP(I226,Veg_Parameters!$A$3:$N$65,3,FALSE)),0,(VLOOKUP(I226,Veg_Parameters!$A$3:$N$65,3,FALSE))))</f>
        <v/>
      </c>
      <c r="T226" s="222" t="str">
        <f>IF(ISBLANK(N226),"",IF(ISNA(VLOOKUP(N226,Veg_Parameters!$A$3:$N$65,3,FALSE)),0,(VLOOKUP(N226,Veg_Parameters!$A$3:$N$65,3,FALSE))))</f>
        <v/>
      </c>
      <c r="U226" s="523">
        <f t="shared" si="347"/>
        <v>0</v>
      </c>
      <c r="V226" s="523">
        <f t="shared" si="323"/>
        <v>0</v>
      </c>
      <c r="W226" s="524">
        <f>IF(ISBLANK(A226),0,IF(ISNA(VLOOKUP($I226,Veg_Parameters!$A$3:$N$65,10,FALSE)),0,(VLOOKUP($I226,Veg_Parameters!$A$3:$N$65,10,FALSE))))</f>
        <v>0</v>
      </c>
      <c r="X226" s="524">
        <f>IF(ISBLANK(A226),0,IF(ISNA(VLOOKUP($I226,Veg_Parameters!$A$3:$N$65,11,FALSE)),0,(VLOOKUP($I226,Veg_Parameters!$A$3:$N$65,11,FALSE))))</f>
        <v>0</v>
      </c>
      <c r="Y226" s="524">
        <f>IF(ISBLANK(A226),0,IF(ISNA(VLOOKUP($I226,Veg_Parameters!$A$3:$N$65,12,FALSE)),0,(VLOOKUP($I226,Veg_Parameters!$A$3:$N$65,12,FALSE))))</f>
        <v>0</v>
      </c>
      <c r="Z226" s="525">
        <f t="shared" si="324"/>
        <v>0</v>
      </c>
      <c r="AA226" s="525">
        <f t="shared" si="325"/>
        <v>0</v>
      </c>
      <c r="AB226" s="525">
        <f t="shared" si="326"/>
        <v>0</v>
      </c>
      <c r="AC226" s="524">
        <f>IF(ISBLANK(N226),0,IF(ISNA(VLOOKUP($N226,Veg_Parameters!$A$3:$N$65,10,FALSE)),0,(VLOOKUP($N226,Veg_Parameters!$A$3:$N$65,10,FALSE))))</f>
        <v>0</v>
      </c>
      <c r="AD226" s="524">
        <f>IF(ISBLANK(N226),0,IF(ISNA(VLOOKUP($N226,Veg_Parameters!$A$3:$N$65,11,FALSE)),0,(VLOOKUP($N226,Veg_Parameters!$A$3:$N$65,11,FALSE))))</f>
        <v>0</v>
      </c>
      <c r="AE226" s="524">
        <f>IF(ISBLANK(N226), 0, IF(ISNA(VLOOKUP($N226,Veg_Parameters!$A$3:$N$65,12,FALSE)),0,(VLOOKUP($N226,Veg_Parameters!$A$3:$N$65,12,FALSE))))</f>
        <v>0</v>
      </c>
      <c r="AF226" s="523">
        <f t="shared" si="327"/>
        <v>0</v>
      </c>
      <c r="AG226" s="523">
        <f t="shared" si="328"/>
        <v>0</v>
      </c>
      <c r="AH226" s="523">
        <f t="shared" si="329"/>
        <v>0</v>
      </c>
      <c r="AI226" s="526"/>
      <c r="AJ226" s="527">
        <f>AB226*(IF(ISNA(VLOOKUP($I226,Veg_Parameters!$A$3:$N$65,5,FALSE)),0,(VLOOKUP($I226,Veg_Parameters!$A$3:$N$65,5,FALSE))))</f>
        <v>0</v>
      </c>
      <c r="AK226" s="527">
        <f>IF(ISNA(VLOOKUP($I226,Veg_Parameters!$A$3:$N$65,4,FALSE)),0,(VLOOKUP($I226,Veg_Parameters!$A$3:$N$65,4,FALSE)))</f>
        <v>0</v>
      </c>
      <c r="AL226" s="527">
        <f>AB226*(IF(ISNA(VLOOKUP($I226,Veg_Parameters!$A$3:$N$65,7,FALSE)),0, (VLOOKUP($I226,Veg_Parameters!$A$3:$N$65,7,FALSE))))</f>
        <v>0</v>
      </c>
      <c r="AM226" s="528">
        <f>IF(ISNA(VLOOKUP($I226,Veg_Parameters!$A$3:$N$65,6,FALSE)), 0, (VLOOKUP($I226,Veg_Parameters!$A$3:$N$65,6,FALSE)))</f>
        <v>0</v>
      </c>
      <c r="AN226" s="529">
        <f t="shared" si="330"/>
        <v>20</v>
      </c>
      <c r="AO226" s="529">
        <f t="shared" si="331"/>
        <v>0</v>
      </c>
      <c r="AP226" s="529">
        <f t="shared" si="332"/>
        <v>0</v>
      </c>
      <c r="AQ226" s="530">
        <f t="shared" si="348"/>
        <v>0</v>
      </c>
      <c r="AR226" s="527" t="s">
        <v>3</v>
      </c>
      <c r="AS226" s="527">
        <f>IF(ISNA(VLOOKUP($I226,Veg_Parameters!$A$3:$N$65,8,FALSE)), 0, (VLOOKUP($I226,Veg_Parameters!$A$3:$N$65,8,FALSE)))</f>
        <v>0</v>
      </c>
      <c r="AT226" s="527">
        <f>AB226*(IF(ISNA(VLOOKUP($I226,Veg_Parameters!$A$3:$N$65,9,FALSE)), 0, (VLOOKUP($I226,Veg_Parameters!$A$3:$N$65,9,FALSE))))</f>
        <v>0</v>
      </c>
      <c r="AU226" s="527">
        <f>IF(ISBLANK(A226),0,VLOOKUP($I226,Veg_Parameters!$A$4:$U$65,21,))</f>
        <v>0</v>
      </c>
      <c r="AV226" s="527">
        <f t="shared" si="349"/>
        <v>0</v>
      </c>
      <c r="AW226" s="529">
        <f t="shared" si="350"/>
        <v>0</v>
      </c>
      <c r="AX226" s="529">
        <f t="shared" si="351"/>
        <v>0</v>
      </c>
      <c r="AY226" s="529">
        <f t="shared" si="333"/>
        <v>0</v>
      </c>
      <c r="AZ226" s="529">
        <f t="shared" si="352"/>
        <v>0</v>
      </c>
      <c r="BA226" s="529">
        <f t="shared" si="353"/>
        <v>0</v>
      </c>
      <c r="BB226" s="529">
        <f t="shared" si="354"/>
        <v>0</v>
      </c>
      <c r="BC226" s="529">
        <f t="shared" si="334"/>
        <v>0</v>
      </c>
      <c r="BD226" s="531"/>
      <c r="BE226" s="527">
        <f>AH226*(IF(ISNA(VLOOKUP($N226,Veg_Parameters!$A$3:$N$65,5,FALSE)),0,(VLOOKUP($N226,Veg_Parameters!$A$3:$N$65,5,FALSE))))</f>
        <v>0</v>
      </c>
      <c r="BF226" s="527">
        <f>IF(ISNA(VLOOKUP($N226,Veg_Parameters!$A$3:$N$65,4,FALSE)),0,(VLOOKUP($N226,Veg_Parameters!$A$3:$N$65,4,FALSE)))</f>
        <v>0</v>
      </c>
      <c r="BG226" s="527">
        <f>AH226*(IF(ISNA(VLOOKUP($N226,Veg_Parameters!$A$3:$N$65,7,FALSE)),0, (VLOOKUP($N226,Veg_Parameters!$A$3:$N$65,7,FALSE))))</f>
        <v>0</v>
      </c>
      <c r="BH226" s="527">
        <f>IF(ISNA(VLOOKUP($N226,Veg_Parameters!$A$3:$N$65,6,FALSE)), 0, (VLOOKUP($N226,Veg_Parameters!$A$3:$N$65,6,FALSE)))</f>
        <v>0</v>
      </c>
      <c r="BI226" s="529">
        <f t="shared" si="335"/>
        <v>20</v>
      </c>
      <c r="BJ226" s="529">
        <f t="shared" si="355"/>
        <v>0</v>
      </c>
      <c r="BK226" s="529">
        <f t="shared" si="336"/>
        <v>0</v>
      </c>
      <c r="BL226" s="530">
        <f t="shared" si="356"/>
        <v>0</v>
      </c>
      <c r="BM226" s="527" t="s">
        <v>3</v>
      </c>
      <c r="BN226" s="527">
        <f>IF(ISNA(VLOOKUP(N226,Veg_Parameters!$A$3:$N$65,8,FALSE)), 0, (VLOOKUP($N226,Veg_Parameters!$A$3:$N$65,8,FALSE)))</f>
        <v>0</v>
      </c>
      <c r="BO226" s="527">
        <f>AH226*(IF(ISNA(VLOOKUP($N226,Veg_Parameters!$A$3:$N$65,9,FALSE)), 0, (VLOOKUP($N226,Veg_Parameters!$A$3:$N$65,9,FALSE))))</f>
        <v>0</v>
      </c>
      <c r="BP226" s="527" t="str">
        <f>IF(ISBLANK(N226),"0",VLOOKUP($N226,Veg_Parameters!$A$4:$U$65,21,))</f>
        <v>0</v>
      </c>
      <c r="BQ226" s="529">
        <f t="shared" si="357"/>
        <v>0</v>
      </c>
      <c r="BR226" s="529">
        <f t="shared" si="358"/>
        <v>0</v>
      </c>
      <c r="BS226" s="529">
        <f t="shared" si="337"/>
        <v>0</v>
      </c>
      <c r="BT226" s="529">
        <f t="shared" si="359"/>
        <v>0</v>
      </c>
      <c r="BU226" s="529">
        <f t="shared" si="360"/>
        <v>0</v>
      </c>
      <c r="BV226" s="529">
        <f t="shared" si="361"/>
        <v>0</v>
      </c>
      <c r="BW226" s="532" t="str">
        <f t="shared" si="338"/>
        <v/>
      </c>
      <c r="BX226" s="532" t="str">
        <f t="shared" si="339"/>
        <v/>
      </c>
      <c r="BY226" s="532" t="str">
        <f t="shared" si="340"/>
        <v/>
      </c>
      <c r="BZ226" s="532" t="str">
        <f t="shared" si="341"/>
        <v/>
      </c>
      <c r="CA226" s="532">
        <f t="shared" si="342"/>
        <v>0</v>
      </c>
      <c r="CB226" s="533"/>
      <c r="CC226" s="624">
        <f t="shared" si="343"/>
        <v>0</v>
      </c>
      <c r="CD226" s="534">
        <f t="shared" si="344"/>
        <v>0</v>
      </c>
      <c r="CE226" s="534">
        <f t="shared" si="345"/>
        <v>0</v>
      </c>
      <c r="CF226" s="534">
        <f t="shared" si="346"/>
        <v>0</v>
      </c>
      <c r="CG226" s="534"/>
      <c r="CH226" s="534"/>
      <c r="CI226" s="534">
        <f t="shared" si="362"/>
        <v>0</v>
      </c>
      <c r="CL226" s="534">
        <f>IF(ISNA(VLOOKUP(I226,Veg_Parameters!$A$3:$N$65,13,FALSE)),0,(VLOOKUP(I226,Veg_Parameters!$A$3:$N$65,13,FALSE)))</f>
        <v>0</v>
      </c>
      <c r="CM226" s="534">
        <f t="shared" si="363"/>
        <v>0</v>
      </c>
      <c r="CN226" s="534">
        <f>IF(ISNA(VLOOKUP(N226,Veg_Parameters!$A$3:$N$65,13,FALSE)),0,(VLOOKUP(N226,Veg_Parameters!$A$3:$N$65,13,FALSE)))</f>
        <v>0</v>
      </c>
      <c r="CO226" s="523">
        <f t="shared" si="364"/>
        <v>0</v>
      </c>
    </row>
    <row r="227" spans="1:93" x14ac:dyDescent="0.2">
      <c r="A227" s="230"/>
      <c r="B227" s="171" t="str">
        <f t="shared" si="365"/>
        <v/>
      </c>
      <c r="C227" s="230"/>
      <c r="D227" s="169"/>
      <c r="E227" s="165"/>
      <c r="F227" s="165"/>
      <c r="G227" s="165"/>
      <c r="H227" s="165"/>
      <c r="I227" s="168"/>
      <c r="J227" s="167"/>
      <c r="K227" s="168"/>
      <c r="L227" s="167"/>
      <c r="M227" s="167"/>
      <c r="N227" s="168"/>
      <c r="O227" s="168"/>
      <c r="P227" s="167"/>
      <c r="Q227" s="167"/>
      <c r="R227" s="167"/>
      <c r="S227" s="222" t="str">
        <f>IF(ISBLANK(A227),"",IF(ISNA(VLOOKUP(I227,Veg_Parameters!$A$3:$N$65,3,FALSE)),0,(VLOOKUP(I227,Veg_Parameters!$A$3:$N$65,3,FALSE))))</f>
        <v/>
      </c>
      <c r="T227" s="222" t="str">
        <f>IF(ISBLANK(N227),"",IF(ISNA(VLOOKUP(N227,Veg_Parameters!$A$3:$N$65,3,FALSE)),0,(VLOOKUP(N227,Veg_Parameters!$A$3:$N$65,3,FALSE))))</f>
        <v/>
      </c>
      <c r="U227" s="523">
        <f t="shared" si="347"/>
        <v>0</v>
      </c>
      <c r="V227" s="523">
        <f t="shared" si="323"/>
        <v>0</v>
      </c>
      <c r="W227" s="524">
        <f>IF(ISBLANK(A227),0,IF(ISNA(VLOOKUP($I227,Veg_Parameters!$A$3:$N$65,10,FALSE)),0,(VLOOKUP($I227,Veg_Parameters!$A$3:$N$65,10,FALSE))))</f>
        <v>0</v>
      </c>
      <c r="X227" s="524">
        <f>IF(ISBLANK(A227),0,IF(ISNA(VLOOKUP($I227,Veg_Parameters!$A$3:$N$65,11,FALSE)),0,(VLOOKUP($I227,Veg_Parameters!$A$3:$N$65,11,FALSE))))</f>
        <v>0</v>
      </c>
      <c r="Y227" s="524">
        <f>IF(ISBLANK(A227),0,IF(ISNA(VLOOKUP($I227,Veg_Parameters!$A$3:$N$65,12,FALSE)),0,(VLOOKUP($I227,Veg_Parameters!$A$3:$N$65,12,FALSE))))</f>
        <v>0</v>
      </c>
      <c r="Z227" s="525">
        <f t="shared" si="324"/>
        <v>0</v>
      </c>
      <c r="AA227" s="525">
        <f t="shared" si="325"/>
        <v>0</v>
      </c>
      <c r="AB227" s="525">
        <f t="shared" si="326"/>
        <v>0</v>
      </c>
      <c r="AC227" s="524">
        <f>IF(ISBLANK(N227),0,IF(ISNA(VLOOKUP($N227,Veg_Parameters!$A$3:$N$65,10,FALSE)),0,(VLOOKUP($N227,Veg_Parameters!$A$3:$N$65,10,FALSE))))</f>
        <v>0</v>
      </c>
      <c r="AD227" s="524">
        <f>IF(ISBLANK(N227),0,IF(ISNA(VLOOKUP($N227,Veg_Parameters!$A$3:$N$65,11,FALSE)),0,(VLOOKUP($N227,Veg_Parameters!$A$3:$N$65,11,FALSE))))</f>
        <v>0</v>
      </c>
      <c r="AE227" s="524">
        <f>IF(ISBLANK(N227), 0, IF(ISNA(VLOOKUP($N227,Veg_Parameters!$A$3:$N$65,12,FALSE)),0,(VLOOKUP($N227,Veg_Parameters!$A$3:$N$65,12,FALSE))))</f>
        <v>0</v>
      </c>
      <c r="AF227" s="523">
        <f t="shared" si="327"/>
        <v>0</v>
      </c>
      <c r="AG227" s="523">
        <f t="shared" si="328"/>
        <v>0</v>
      </c>
      <c r="AH227" s="523">
        <f t="shared" si="329"/>
        <v>0</v>
      </c>
      <c r="AI227" s="526"/>
      <c r="AJ227" s="527">
        <f>AB227*(IF(ISNA(VLOOKUP($I227,Veg_Parameters!$A$3:$N$65,5,FALSE)),0,(VLOOKUP($I227,Veg_Parameters!$A$3:$N$65,5,FALSE))))</f>
        <v>0</v>
      </c>
      <c r="AK227" s="527">
        <f>IF(ISNA(VLOOKUP($I227,Veg_Parameters!$A$3:$N$65,4,FALSE)),0,(VLOOKUP($I227,Veg_Parameters!$A$3:$N$65,4,FALSE)))</f>
        <v>0</v>
      </c>
      <c r="AL227" s="527">
        <f>AB227*(IF(ISNA(VLOOKUP($I227,Veg_Parameters!$A$3:$N$65,7,FALSE)),0, (VLOOKUP($I227,Veg_Parameters!$A$3:$N$65,7,FALSE))))</f>
        <v>0</v>
      </c>
      <c r="AM227" s="528">
        <f>IF(ISNA(VLOOKUP($I227,Veg_Parameters!$A$3:$N$65,6,FALSE)), 0, (VLOOKUP($I227,Veg_Parameters!$A$3:$N$65,6,FALSE)))</f>
        <v>0</v>
      </c>
      <c r="AN227" s="529">
        <f t="shared" si="330"/>
        <v>20</v>
      </c>
      <c r="AO227" s="529">
        <f t="shared" si="331"/>
        <v>0</v>
      </c>
      <c r="AP227" s="529">
        <f t="shared" si="332"/>
        <v>0</v>
      </c>
      <c r="AQ227" s="530">
        <f t="shared" si="348"/>
        <v>0</v>
      </c>
      <c r="AR227" s="527" t="s">
        <v>3</v>
      </c>
      <c r="AS227" s="527">
        <f>IF(ISNA(VLOOKUP($I227,Veg_Parameters!$A$3:$N$65,8,FALSE)), 0, (VLOOKUP($I227,Veg_Parameters!$A$3:$N$65,8,FALSE)))</f>
        <v>0</v>
      </c>
      <c r="AT227" s="527">
        <f>AB227*(IF(ISNA(VLOOKUP($I227,Veg_Parameters!$A$3:$N$65,9,FALSE)), 0, (VLOOKUP($I227,Veg_Parameters!$A$3:$N$65,9,FALSE))))</f>
        <v>0</v>
      </c>
      <c r="AU227" s="527">
        <f>IF(ISBLANK(A227),0,VLOOKUP($I227,Veg_Parameters!$A$4:$U$65,21,))</f>
        <v>0</v>
      </c>
      <c r="AV227" s="527">
        <f t="shared" si="349"/>
        <v>0</v>
      </c>
      <c r="AW227" s="529">
        <f t="shared" si="350"/>
        <v>0</v>
      </c>
      <c r="AX227" s="529">
        <f t="shared" si="351"/>
        <v>0</v>
      </c>
      <c r="AY227" s="529">
        <f t="shared" si="333"/>
        <v>0</v>
      </c>
      <c r="AZ227" s="529">
        <f t="shared" si="352"/>
        <v>0</v>
      </c>
      <c r="BA227" s="529">
        <f t="shared" si="353"/>
        <v>0</v>
      </c>
      <c r="BB227" s="529">
        <f t="shared" si="354"/>
        <v>0</v>
      </c>
      <c r="BC227" s="529">
        <f t="shared" si="334"/>
        <v>0</v>
      </c>
      <c r="BD227" s="531"/>
      <c r="BE227" s="527">
        <f>AH227*(IF(ISNA(VLOOKUP($N227,Veg_Parameters!$A$3:$N$65,5,FALSE)),0,(VLOOKUP($N227,Veg_Parameters!$A$3:$N$65,5,FALSE))))</f>
        <v>0</v>
      </c>
      <c r="BF227" s="527">
        <f>IF(ISNA(VLOOKUP($N227,Veg_Parameters!$A$3:$N$65,4,FALSE)),0,(VLOOKUP($N227,Veg_Parameters!$A$3:$N$65,4,FALSE)))</f>
        <v>0</v>
      </c>
      <c r="BG227" s="527">
        <f>AH227*(IF(ISNA(VLOOKUP($N227,Veg_Parameters!$A$3:$N$65,7,FALSE)),0, (VLOOKUP($N227,Veg_Parameters!$A$3:$N$65,7,FALSE))))</f>
        <v>0</v>
      </c>
      <c r="BH227" s="527">
        <f>IF(ISNA(VLOOKUP($N227,Veg_Parameters!$A$3:$N$65,6,FALSE)), 0, (VLOOKUP($N227,Veg_Parameters!$A$3:$N$65,6,FALSE)))</f>
        <v>0</v>
      </c>
      <c r="BI227" s="529">
        <f t="shared" si="335"/>
        <v>20</v>
      </c>
      <c r="BJ227" s="529">
        <f t="shared" si="355"/>
        <v>0</v>
      </c>
      <c r="BK227" s="529">
        <f t="shared" si="336"/>
        <v>0</v>
      </c>
      <c r="BL227" s="530">
        <f t="shared" si="356"/>
        <v>0</v>
      </c>
      <c r="BM227" s="527" t="s">
        <v>3</v>
      </c>
      <c r="BN227" s="527">
        <f>IF(ISNA(VLOOKUP(N227,Veg_Parameters!$A$3:$N$65,8,FALSE)), 0, (VLOOKUP($N227,Veg_Parameters!$A$3:$N$65,8,FALSE)))</f>
        <v>0</v>
      </c>
      <c r="BO227" s="527">
        <f>AH227*(IF(ISNA(VLOOKUP($N227,Veg_Parameters!$A$3:$N$65,9,FALSE)), 0, (VLOOKUP($N227,Veg_Parameters!$A$3:$N$65,9,FALSE))))</f>
        <v>0</v>
      </c>
      <c r="BP227" s="527" t="str">
        <f>IF(ISBLANK(N227),"0",VLOOKUP($N227,Veg_Parameters!$A$4:$U$65,21,))</f>
        <v>0</v>
      </c>
      <c r="BQ227" s="529">
        <f t="shared" si="357"/>
        <v>0</v>
      </c>
      <c r="BR227" s="529">
        <f t="shared" si="358"/>
        <v>0</v>
      </c>
      <c r="BS227" s="529">
        <f t="shared" si="337"/>
        <v>0</v>
      </c>
      <c r="BT227" s="529">
        <f t="shared" si="359"/>
        <v>0</v>
      </c>
      <c r="BU227" s="529">
        <f t="shared" si="360"/>
        <v>0</v>
      </c>
      <c r="BV227" s="529">
        <f t="shared" si="361"/>
        <v>0</v>
      </c>
      <c r="BW227" s="532" t="str">
        <f t="shared" si="338"/>
        <v/>
      </c>
      <c r="BX227" s="532" t="str">
        <f t="shared" si="339"/>
        <v/>
      </c>
      <c r="BY227" s="532" t="str">
        <f t="shared" si="340"/>
        <v/>
      </c>
      <c r="BZ227" s="532" t="str">
        <f t="shared" si="341"/>
        <v/>
      </c>
      <c r="CA227" s="532">
        <f t="shared" si="342"/>
        <v>0</v>
      </c>
      <c r="CB227" s="533"/>
      <c r="CC227" s="624">
        <f t="shared" si="343"/>
        <v>0</v>
      </c>
      <c r="CD227" s="534">
        <f t="shared" si="344"/>
        <v>0</v>
      </c>
      <c r="CE227" s="534">
        <f t="shared" si="345"/>
        <v>0</v>
      </c>
      <c r="CF227" s="534">
        <f t="shared" si="346"/>
        <v>0</v>
      </c>
      <c r="CG227" s="534"/>
      <c r="CH227" s="534"/>
      <c r="CI227" s="534">
        <f t="shared" si="362"/>
        <v>0</v>
      </c>
      <c r="CL227" s="534">
        <f>IF(ISNA(VLOOKUP(I227,Veg_Parameters!$A$3:$N$65,13,FALSE)),0,(VLOOKUP(I227,Veg_Parameters!$A$3:$N$65,13,FALSE)))</f>
        <v>0</v>
      </c>
      <c r="CM227" s="534">
        <f t="shared" si="363"/>
        <v>0</v>
      </c>
      <c r="CN227" s="534">
        <f>IF(ISNA(VLOOKUP(N227,Veg_Parameters!$A$3:$N$65,13,FALSE)),0,(VLOOKUP(N227,Veg_Parameters!$A$3:$N$65,13,FALSE)))</f>
        <v>0</v>
      </c>
      <c r="CO227" s="523">
        <f t="shared" si="364"/>
        <v>0</v>
      </c>
    </row>
    <row r="228" spans="1:93" x14ac:dyDescent="0.2">
      <c r="A228" s="230"/>
      <c r="B228" s="171" t="str">
        <f t="shared" si="365"/>
        <v/>
      </c>
      <c r="C228" s="230"/>
      <c r="D228" s="169"/>
      <c r="E228" s="165"/>
      <c r="F228" s="165"/>
      <c r="G228" s="165"/>
      <c r="H228" s="165"/>
      <c r="I228" s="168"/>
      <c r="J228" s="167"/>
      <c r="K228" s="168"/>
      <c r="L228" s="167"/>
      <c r="M228" s="167"/>
      <c r="N228" s="168"/>
      <c r="O228" s="168"/>
      <c r="P228" s="167"/>
      <c r="Q228" s="167"/>
      <c r="R228" s="167"/>
      <c r="S228" s="222" t="str">
        <f>IF(ISBLANK(A228),"",IF(ISNA(VLOOKUP(I228,Veg_Parameters!$A$3:$N$65,3,FALSE)),0,(VLOOKUP(I228,Veg_Parameters!$A$3:$N$65,3,FALSE))))</f>
        <v/>
      </c>
      <c r="T228" s="222" t="str">
        <f>IF(ISBLANK(N228),"",IF(ISNA(VLOOKUP(N228,Veg_Parameters!$A$3:$N$65,3,FALSE)),0,(VLOOKUP(N228,Veg_Parameters!$A$3:$N$65,3,FALSE))))</f>
        <v/>
      </c>
      <c r="U228" s="523">
        <f t="shared" si="347"/>
        <v>0</v>
      </c>
      <c r="V228" s="523">
        <f t="shared" si="323"/>
        <v>0</v>
      </c>
      <c r="W228" s="524">
        <f>IF(ISBLANK(A228),0,IF(ISNA(VLOOKUP($I228,Veg_Parameters!$A$3:$N$65,10,FALSE)),0,(VLOOKUP($I228,Veg_Parameters!$A$3:$N$65,10,FALSE))))</f>
        <v>0</v>
      </c>
      <c r="X228" s="524">
        <f>IF(ISBLANK(A228),0,IF(ISNA(VLOOKUP($I228,Veg_Parameters!$A$3:$N$65,11,FALSE)),0,(VLOOKUP($I228,Veg_Parameters!$A$3:$N$65,11,FALSE))))</f>
        <v>0</v>
      </c>
      <c r="Y228" s="524">
        <f>IF(ISBLANK(A228),0,IF(ISNA(VLOOKUP($I228,Veg_Parameters!$A$3:$N$65,12,FALSE)),0,(VLOOKUP($I228,Veg_Parameters!$A$3:$N$65,12,FALSE))))</f>
        <v>0</v>
      </c>
      <c r="Z228" s="525">
        <f t="shared" si="324"/>
        <v>0</v>
      </c>
      <c r="AA228" s="525">
        <f t="shared" si="325"/>
        <v>0</v>
      </c>
      <c r="AB228" s="525">
        <f t="shared" si="326"/>
        <v>0</v>
      </c>
      <c r="AC228" s="524">
        <f>IF(ISBLANK(N228),0,IF(ISNA(VLOOKUP($N228,Veg_Parameters!$A$3:$N$65,10,FALSE)),0,(VLOOKUP($N228,Veg_Parameters!$A$3:$N$65,10,FALSE))))</f>
        <v>0</v>
      </c>
      <c r="AD228" s="524">
        <f>IF(ISBLANK(N228),0,IF(ISNA(VLOOKUP($N228,Veg_Parameters!$A$3:$N$65,11,FALSE)),0,(VLOOKUP($N228,Veg_Parameters!$A$3:$N$65,11,FALSE))))</f>
        <v>0</v>
      </c>
      <c r="AE228" s="524">
        <f>IF(ISBLANK(N228), 0, IF(ISNA(VLOOKUP($N228,Veg_Parameters!$A$3:$N$65,12,FALSE)),0,(VLOOKUP($N228,Veg_Parameters!$A$3:$N$65,12,FALSE))))</f>
        <v>0</v>
      </c>
      <c r="AF228" s="523">
        <f t="shared" si="327"/>
        <v>0</v>
      </c>
      <c r="AG228" s="523">
        <f t="shared" si="328"/>
        <v>0</v>
      </c>
      <c r="AH228" s="523">
        <f t="shared" si="329"/>
        <v>0</v>
      </c>
      <c r="AI228" s="526"/>
      <c r="AJ228" s="527">
        <f>AB228*(IF(ISNA(VLOOKUP($I228,Veg_Parameters!$A$3:$N$65,5,FALSE)),0,(VLOOKUP($I228,Veg_Parameters!$A$3:$N$65,5,FALSE))))</f>
        <v>0</v>
      </c>
      <c r="AK228" s="527">
        <f>IF(ISNA(VLOOKUP($I228,Veg_Parameters!$A$3:$N$65,4,FALSE)),0,(VLOOKUP($I228,Veg_Parameters!$A$3:$N$65,4,FALSE)))</f>
        <v>0</v>
      </c>
      <c r="AL228" s="527">
        <f>AB228*(IF(ISNA(VLOOKUP($I228,Veg_Parameters!$A$3:$N$65,7,FALSE)),0, (VLOOKUP($I228,Veg_Parameters!$A$3:$N$65,7,FALSE))))</f>
        <v>0</v>
      </c>
      <c r="AM228" s="528">
        <f>IF(ISNA(VLOOKUP($I228,Veg_Parameters!$A$3:$N$65,6,FALSE)), 0, (VLOOKUP($I228,Veg_Parameters!$A$3:$N$65,6,FALSE)))</f>
        <v>0</v>
      </c>
      <c r="AN228" s="529">
        <f t="shared" si="330"/>
        <v>20</v>
      </c>
      <c r="AO228" s="529">
        <f t="shared" si="331"/>
        <v>0</v>
      </c>
      <c r="AP228" s="529">
        <f t="shared" si="332"/>
        <v>0</v>
      </c>
      <c r="AQ228" s="530">
        <f t="shared" si="348"/>
        <v>0</v>
      </c>
      <c r="AR228" s="527" t="s">
        <v>3</v>
      </c>
      <c r="AS228" s="527">
        <f>IF(ISNA(VLOOKUP($I228,Veg_Parameters!$A$3:$N$65,8,FALSE)), 0, (VLOOKUP($I228,Veg_Parameters!$A$3:$N$65,8,FALSE)))</f>
        <v>0</v>
      </c>
      <c r="AT228" s="527">
        <f>AB228*(IF(ISNA(VLOOKUP($I228,Veg_Parameters!$A$3:$N$65,9,FALSE)), 0, (VLOOKUP($I228,Veg_Parameters!$A$3:$N$65,9,FALSE))))</f>
        <v>0</v>
      </c>
      <c r="AU228" s="527">
        <f>IF(ISBLANK(A228),0,VLOOKUP($I228,Veg_Parameters!$A$4:$U$65,21,))</f>
        <v>0</v>
      </c>
      <c r="AV228" s="527">
        <f t="shared" si="349"/>
        <v>0</v>
      </c>
      <c r="AW228" s="529">
        <f t="shared" si="350"/>
        <v>0</v>
      </c>
      <c r="AX228" s="529">
        <f t="shared" si="351"/>
        <v>0</v>
      </c>
      <c r="AY228" s="529">
        <f t="shared" si="333"/>
        <v>0</v>
      </c>
      <c r="AZ228" s="529">
        <f t="shared" si="352"/>
        <v>0</v>
      </c>
      <c r="BA228" s="529">
        <f t="shared" si="353"/>
        <v>0</v>
      </c>
      <c r="BB228" s="529">
        <f t="shared" si="354"/>
        <v>0</v>
      </c>
      <c r="BC228" s="529">
        <f t="shared" si="334"/>
        <v>0</v>
      </c>
      <c r="BD228" s="531"/>
      <c r="BE228" s="527">
        <f>AH228*(IF(ISNA(VLOOKUP($N228,Veg_Parameters!$A$3:$N$65,5,FALSE)),0,(VLOOKUP($N228,Veg_Parameters!$A$3:$N$65,5,FALSE))))</f>
        <v>0</v>
      </c>
      <c r="BF228" s="527">
        <f>IF(ISNA(VLOOKUP($N228,Veg_Parameters!$A$3:$N$65,4,FALSE)),0,(VLOOKUP($N228,Veg_Parameters!$A$3:$N$65,4,FALSE)))</f>
        <v>0</v>
      </c>
      <c r="BG228" s="527">
        <f>AH228*(IF(ISNA(VLOOKUP($N228,Veg_Parameters!$A$3:$N$65,7,FALSE)),0, (VLOOKUP($N228,Veg_Parameters!$A$3:$N$65,7,FALSE))))</f>
        <v>0</v>
      </c>
      <c r="BH228" s="527">
        <f>IF(ISNA(VLOOKUP($N228,Veg_Parameters!$A$3:$N$65,6,FALSE)), 0, (VLOOKUP($N228,Veg_Parameters!$A$3:$N$65,6,FALSE)))</f>
        <v>0</v>
      </c>
      <c r="BI228" s="529">
        <f t="shared" si="335"/>
        <v>20</v>
      </c>
      <c r="BJ228" s="529">
        <f t="shared" si="355"/>
        <v>0</v>
      </c>
      <c r="BK228" s="529">
        <f t="shared" si="336"/>
        <v>0</v>
      </c>
      <c r="BL228" s="530">
        <f t="shared" si="356"/>
        <v>0</v>
      </c>
      <c r="BM228" s="527" t="s">
        <v>3</v>
      </c>
      <c r="BN228" s="527">
        <f>IF(ISNA(VLOOKUP(N228,Veg_Parameters!$A$3:$N$65,8,FALSE)), 0, (VLOOKUP($N228,Veg_Parameters!$A$3:$N$65,8,FALSE)))</f>
        <v>0</v>
      </c>
      <c r="BO228" s="527">
        <f>AH228*(IF(ISNA(VLOOKUP($N228,Veg_Parameters!$A$3:$N$65,9,FALSE)), 0, (VLOOKUP($N228,Veg_Parameters!$A$3:$N$65,9,FALSE))))</f>
        <v>0</v>
      </c>
      <c r="BP228" s="527" t="str">
        <f>IF(ISBLANK(N228),"0",VLOOKUP($N228,Veg_Parameters!$A$4:$U$65,21,))</f>
        <v>0</v>
      </c>
      <c r="BQ228" s="529">
        <f t="shared" si="357"/>
        <v>0</v>
      </c>
      <c r="BR228" s="529">
        <f t="shared" si="358"/>
        <v>0</v>
      </c>
      <c r="BS228" s="529">
        <f t="shared" si="337"/>
        <v>0</v>
      </c>
      <c r="BT228" s="529">
        <f t="shared" si="359"/>
        <v>0</v>
      </c>
      <c r="BU228" s="529">
        <f t="shared" si="360"/>
        <v>0</v>
      </c>
      <c r="BV228" s="529">
        <f t="shared" si="361"/>
        <v>0</v>
      </c>
      <c r="BW228" s="532" t="str">
        <f t="shared" si="338"/>
        <v/>
      </c>
      <c r="BX228" s="532" t="str">
        <f t="shared" si="339"/>
        <v/>
      </c>
      <c r="BY228" s="532" t="str">
        <f t="shared" si="340"/>
        <v/>
      </c>
      <c r="BZ228" s="532" t="str">
        <f t="shared" si="341"/>
        <v/>
      </c>
      <c r="CA228" s="532">
        <f t="shared" si="342"/>
        <v>0</v>
      </c>
      <c r="CB228" s="533"/>
      <c r="CC228" s="624">
        <f t="shared" si="343"/>
        <v>0</v>
      </c>
      <c r="CD228" s="534">
        <f t="shared" si="344"/>
        <v>0</v>
      </c>
      <c r="CE228" s="534">
        <f t="shared" si="345"/>
        <v>0</v>
      </c>
      <c r="CF228" s="534">
        <f t="shared" si="346"/>
        <v>0</v>
      </c>
      <c r="CG228" s="534"/>
      <c r="CH228" s="534"/>
      <c r="CI228" s="534">
        <f t="shared" si="362"/>
        <v>0</v>
      </c>
      <c r="CL228" s="534">
        <f>IF(ISNA(VLOOKUP(I228,Veg_Parameters!$A$3:$N$65,13,FALSE)),0,(VLOOKUP(I228,Veg_Parameters!$A$3:$N$65,13,FALSE)))</f>
        <v>0</v>
      </c>
      <c r="CM228" s="534">
        <f t="shared" si="363"/>
        <v>0</v>
      </c>
      <c r="CN228" s="534">
        <f>IF(ISNA(VLOOKUP(N228,Veg_Parameters!$A$3:$N$65,13,FALSE)),0,(VLOOKUP(N228,Veg_Parameters!$A$3:$N$65,13,FALSE)))</f>
        <v>0</v>
      </c>
      <c r="CO228" s="523">
        <f t="shared" si="364"/>
        <v>0</v>
      </c>
    </row>
    <row r="229" spans="1:93" x14ac:dyDescent="0.2">
      <c r="A229" s="230"/>
      <c r="B229" s="171" t="str">
        <f>IF(ISBLANK(A229),"",$B$223)</f>
        <v/>
      </c>
      <c r="C229" s="230"/>
      <c r="D229" s="169"/>
      <c r="E229" s="165"/>
      <c r="F229" s="165"/>
      <c r="G229" s="165"/>
      <c r="H229" s="165"/>
      <c r="I229" s="168"/>
      <c r="J229" s="167"/>
      <c r="K229" s="168"/>
      <c r="L229" s="167"/>
      <c r="M229" s="167"/>
      <c r="N229" s="168"/>
      <c r="O229" s="168"/>
      <c r="P229" s="167"/>
      <c r="Q229" s="167"/>
      <c r="R229" s="167"/>
      <c r="S229" s="222" t="str">
        <f>IF(ISBLANK(A229),"",IF(ISNA(VLOOKUP(I229,Veg_Parameters!$A$3:$N$65,3,FALSE)),0,(VLOOKUP(I229,Veg_Parameters!$A$3:$N$65,3,FALSE))))</f>
        <v/>
      </c>
      <c r="T229" s="222" t="str">
        <f>IF(ISBLANK(N229),"",IF(ISNA(VLOOKUP(N229,Veg_Parameters!$A$3:$N$65,3,FALSE)),0,(VLOOKUP(N229,Veg_Parameters!$A$3:$N$65,3,FALSE))))</f>
        <v/>
      </c>
      <c r="U229" s="523">
        <f t="shared" si="347"/>
        <v>0</v>
      </c>
      <c r="V229" s="523">
        <f t="shared" si="323"/>
        <v>0</v>
      </c>
      <c r="W229" s="524">
        <f>IF(ISBLANK(A229),0,IF(ISNA(VLOOKUP($I229,Veg_Parameters!$A$3:$N$65,10,FALSE)),0,(VLOOKUP($I229,Veg_Parameters!$A$3:$N$65,10,FALSE))))</f>
        <v>0</v>
      </c>
      <c r="X229" s="524">
        <f>IF(ISBLANK(A229),0,IF(ISNA(VLOOKUP($I229,Veg_Parameters!$A$3:$N$65,11,FALSE)),0,(VLOOKUP($I229,Veg_Parameters!$A$3:$N$65,11,FALSE))))</f>
        <v>0</v>
      </c>
      <c r="Y229" s="524">
        <f>IF(ISBLANK(A229),0,IF(ISNA(VLOOKUP($I229,Veg_Parameters!$A$3:$N$65,12,FALSE)),0,(VLOOKUP($I229,Veg_Parameters!$A$3:$N$65,12,FALSE))))</f>
        <v>0</v>
      </c>
      <c r="Z229" s="525">
        <f t="shared" si="324"/>
        <v>0</v>
      </c>
      <c r="AA229" s="525">
        <f t="shared" si="325"/>
        <v>0</v>
      </c>
      <c r="AB229" s="525">
        <f t="shared" si="326"/>
        <v>0</v>
      </c>
      <c r="AC229" s="524">
        <f>IF(ISBLANK(N229),0,IF(ISNA(VLOOKUP($N229,Veg_Parameters!$A$3:$N$65,10,FALSE)),0,(VLOOKUP($N229,Veg_Parameters!$A$3:$N$65,10,FALSE))))</f>
        <v>0</v>
      </c>
      <c r="AD229" s="524">
        <f>IF(ISBLANK(N229),0,IF(ISNA(VLOOKUP($N229,Veg_Parameters!$A$3:$N$65,11,FALSE)),0,(VLOOKUP($N229,Veg_Parameters!$A$3:$N$65,11,FALSE))))</f>
        <v>0</v>
      </c>
      <c r="AE229" s="524">
        <f>IF(ISBLANK(N229), 0, IF(ISNA(VLOOKUP($N229,Veg_Parameters!$A$3:$N$65,12,FALSE)),0,(VLOOKUP($N229,Veg_Parameters!$A$3:$N$65,12,FALSE))))</f>
        <v>0</v>
      </c>
      <c r="AF229" s="523">
        <f t="shared" si="327"/>
        <v>0</v>
      </c>
      <c r="AG229" s="523">
        <f t="shared" si="328"/>
        <v>0</v>
      </c>
      <c r="AH229" s="523">
        <f t="shared" si="329"/>
        <v>0</v>
      </c>
      <c r="AI229" s="526"/>
      <c r="AJ229" s="527">
        <f>AB229*(IF(ISNA(VLOOKUP($I229,Veg_Parameters!$A$3:$N$65,5,FALSE)),0,(VLOOKUP($I229,Veg_Parameters!$A$3:$N$65,5,FALSE))))</f>
        <v>0</v>
      </c>
      <c r="AK229" s="527">
        <f>IF(ISNA(VLOOKUP($I229,Veg_Parameters!$A$3:$N$65,4,FALSE)),0,(VLOOKUP($I229,Veg_Parameters!$A$3:$N$65,4,FALSE)))</f>
        <v>0</v>
      </c>
      <c r="AL229" s="527">
        <f>AB229*(IF(ISNA(VLOOKUP($I229,Veg_Parameters!$A$3:$N$65,7,FALSE)),0, (VLOOKUP($I229,Veg_Parameters!$A$3:$N$65,7,FALSE))))</f>
        <v>0</v>
      </c>
      <c r="AM229" s="528">
        <f>IF(ISNA(VLOOKUP($I229,Veg_Parameters!$A$3:$N$65,6,FALSE)), 0, (VLOOKUP($I229,Veg_Parameters!$A$3:$N$65,6,FALSE)))</f>
        <v>0</v>
      </c>
      <c r="AN229" s="529">
        <f t="shared" si="330"/>
        <v>20</v>
      </c>
      <c r="AO229" s="529">
        <f t="shared" si="331"/>
        <v>0</v>
      </c>
      <c r="AP229" s="529">
        <f t="shared" si="332"/>
        <v>0</v>
      </c>
      <c r="AQ229" s="530">
        <f t="shared" si="348"/>
        <v>0</v>
      </c>
      <c r="AR229" s="527" t="s">
        <v>3</v>
      </c>
      <c r="AS229" s="527">
        <f>IF(ISNA(VLOOKUP($I229,Veg_Parameters!$A$3:$N$65,8,FALSE)), 0, (VLOOKUP($I229,Veg_Parameters!$A$3:$N$65,8,FALSE)))</f>
        <v>0</v>
      </c>
      <c r="AT229" s="527">
        <f>AB229*(IF(ISNA(VLOOKUP($I229,Veg_Parameters!$A$3:$N$65,9,FALSE)), 0, (VLOOKUP($I229,Veg_Parameters!$A$3:$N$65,9,FALSE))))</f>
        <v>0</v>
      </c>
      <c r="AU229" s="527">
        <f>IF(ISBLANK(A229),0,VLOOKUP($I229,Veg_Parameters!$A$4:$U$65,21,))</f>
        <v>0</v>
      </c>
      <c r="AV229" s="527">
        <f t="shared" si="349"/>
        <v>0</v>
      </c>
      <c r="AW229" s="529">
        <f t="shared" si="350"/>
        <v>0</v>
      </c>
      <c r="AX229" s="529">
        <f t="shared" si="351"/>
        <v>0</v>
      </c>
      <c r="AY229" s="529">
        <f t="shared" si="333"/>
        <v>0</v>
      </c>
      <c r="AZ229" s="529">
        <f t="shared" si="352"/>
        <v>0</v>
      </c>
      <c r="BA229" s="529">
        <f t="shared" si="353"/>
        <v>0</v>
      </c>
      <c r="BB229" s="529">
        <f t="shared" si="354"/>
        <v>0</v>
      </c>
      <c r="BC229" s="529">
        <f t="shared" si="334"/>
        <v>0</v>
      </c>
      <c r="BD229" s="531"/>
      <c r="BE229" s="527">
        <f>AH229*(IF(ISNA(VLOOKUP($N229,Veg_Parameters!$A$3:$N$65,5,FALSE)),0,(VLOOKUP($N229,Veg_Parameters!$A$3:$N$65,5,FALSE))))</f>
        <v>0</v>
      </c>
      <c r="BF229" s="527">
        <f>IF(ISNA(VLOOKUP($N229,Veg_Parameters!$A$3:$N$65,4,FALSE)),0,(VLOOKUP($N229,Veg_Parameters!$A$3:$N$65,4,FALSE)))</f>
        <v>0</v>
      </c>
      <c r="BG229" s="527">
        <f>AH229*(IF(ISNA(VLOOKUP($N229,Veg_Parameters!$A$3:$N$65,7,FALSE)),0, (VLOOKUP($N229,Veg_Parameters!$A$3:$N$65,7,FALSE))))</f>
        <v>0</v>
      </c>
      <c r="BH229" s="527">
        <f>IF(ISNA(VLOOKUP($N229,Veg_Parameters!$A$3:$N$65,6,FALSE)), 0, (VLOOKUP($N229,Veg_Parameters!$A$3:$N$65,6,FALSE)))</f>
        <v>0</v>
      </c>
      <c r="BI229" s="529">
        <f t="shared" si="335"/>
        <v>20</v>
      </c>
      <c r="BJ229" s="529">
        <f t="shared" si="355"/>
        <v>0</v>
      </c>
      <c r="BK229" s="529">
        <f t="shared" si="336"/>
        <v>0</v>
      </c>
      <c r="BL229" s="530">
        <f t="shared" si="356"/>
        <v>0</v>
      </c>
      <c r="BM229" s="527" t="s">
        <v>3</v>
      </c>
      <c r="BN229" s="527">
        <f>IF(ISNA(VLOOKUP(N229,Veg_Parameters!$A$3:$N$65,8,FALSE)), 0, (VLOOKUP($N229,Veg_Parameters!$A$3:$N$65,8,FALSE)))</f>
        <v>0</v>
      </c>
      <c r="BO229" s="527">
        <f>AH229*(IF(ISNA(VLOOKUP($N229,Veg_Parameters!$A$3:$N$65,9,FALSE)), 0, (VLOOKUP($N229,Veg_Parameters!$A$3:$N$65,9,FALSE))))</f>
        <v>0</v>
      </c>
      <c r="BP229" s="527" t="str">
        <f>IF(ISBLANK(N229),"0",VLOOKUP($N229,Veg_Parameters!$A$4:$U$65,21,))</f>
        <v>0</v>
      </c>
      <c r="BQ229" s="529">
        <f t="shared" si="357"/>
        <v>0</v>
      </c>
      <c r="BR229" s="529">
        <f t="shared" si="358"/>
        <v>0</v>
      </c>
      <c r="BS229" s="529">
        <f t="shared" si="337"/>
        <v>0</v>
      </c>
      <c r="BT229" s="529">
        <f t="shared" si="359"/>
        <v>0</v>
      </c>
      <c r="BU229" s="529">
        <f t="shared" si="360"/>
        <v>0</v>
      </c>
      <c r="BV229" s="529">
        <f t="shared" si="361"/>
        <v>0</v>
      </c>
      <c r="BW229" s="532" t="str">
        <f t="shared" si="338"/>
        <v/>
      </c>
      <c r="BX229" s="532" t="str">
        <f t="shared" si="339"/>
        <v/>
      </c>
      <c r="BY229" s="532" t="str">
        <f t="shared" si="340"/>
        <v/>
      </c>
      <c r="BZ229" s="532" t="str">
        <f t="shared" si="341"/>
        <v/>
      </c>
      <c r="CA229" s="532">
        <f t="shared" si="342"/>
        <v>0</v>
      </c>
      <c r="CB229" s="533"/>
      <c r="CC229" s="624">
        <f t="shared" si="343"/>
        <v>0</v>
      </c>
      <c r="CD229" s="534">
        <f t="shared" si="344"/>
        <v>0</v>
      </c>
      <c r="CE229" s="534">
        <f t="shared" si="345"/>
        <v>0</v>
      </c>
      <c r="CF229" s="534">
        <f t="shared" si="346"/>
        <v>0</v>
      </c>
      <c r="CG229" s="534"/>
      <c r="CH229" s="534"/>
      <c r="CI229" s="534">
        <f t="shared" si="362"/>
        <v>0</v>
      </c>
      <c r="CL229" s="534">
        <f>IF(ISNA(VLOOKUP(I229,Veg_Parameters!$A$3:$N$65,13,FALSE)),0,(VLOOKUP(I229,Veg_Parameters!$A$3:$N$65,13,FALSE)))</f>
        <v>0</v>
      </c>
      <c r="CM229" s="534">
        <f t="shared" si="363"/>
        <v>0</v>
      </c>
      <c r="CN229" s="534">
        <f>IF(ISNA(VLOOKUP(N229,Veg_Parameters!$A$3:$N$65,13,FALSE)),0,(VLOOKUP(N229,Veg_Parameters!$A$3:$N$65,13,FALSE)))</f>
        <v>0</v>
      </c>
      <c r="CO229" s="523">
        <f t="shared" si="364"/>
        <v>0</v>
      </c>
    </row>
    <row r="230" spans="1:93" x14ac:dyDescent="0.2">
      <c r="A230" s="227"/>
      <c r="B230" s="171" t="str">
        <f t="shared" si="365"/>
        <v/>
      </c>
      <c r="C230" s="230"/>
      <c r="D230" s="169"/>
      <c r="E230" s="165"/>
      <c r="F230" s="165"/>
      <c r="G230" s="165"/>
      <c r="H230" s="165"/>
      <c r="I230" s="168"/>
      <c r="J230" s="167"/>
      <c r="K230" s="168"/>
      <c r="L230" s="167"/>
      <c r="M230" s="167"/>
      <c r="N230" s="168"/>
      <c r="O230" s="168"/>
      <c r="P230" s="167"/>
      <c r="Q230" s="167"/>
      <c r="R230" s="167"/>
      <c r="S230" s="222" t="str">
        <f>IF(ISBLANK(A230),"",IF(ISNA(VLOOKUP(I230,Veg_Parameters!$A$3:$N$65,3,FALSE)),0,(VLOOKUP(I230,Veg_Parameters!$A$3:$N$65,3,FALSE))))</f>
        <v/>
      </c>
      <c r="T230" s="222" t="str">
        <f>IF(ISBLANK(N230),"",IF(ISNA(VLOOKUP(N230,Veg_Parameters!$A$3:$N$65,3,FALSE)),0,(VLOOKUP(N230,Veg_Parameters!$A$3:$N$65,3,FALSE))))</f>
        <v/>
      </c>
      <c r="U230" s="523">
        <f t="shared" si="347"/>
        <v>0</v>
      </c>
      <c r="V230" s="523">
        <f t="shared" si="323"/>
        <v>0</v>
      </c>
      <c r="W230" s="524">
        <f>IF(ISBLANK(A230),0,IF(ISNA(VLOOKUP($I230,Veg_Parameters!$A$3:$N$65,10,FALSE)),0,(VLOOKUP($I230,Veg_Parameters!$A$3:$N$65,10,FALSE))))</f>
        <v>0</v>
      </c>
      <c r="X230" s="524">
        <f>IF(ISBLANK(A230),0,IF(ISNA(VLOOKUP($I230,Veg_Parameters!$A$3:$N$65,11,FALSE)),0,(VLOOKUP($I230,Veg_Parameters!$A$3:$N$65,11,FALSE))))</f>
        <v>0</v>
      </c>
      <c r="Y230" s="524">
        <f>IF(ISBLANK(A230),0,IF(ISNA(VLOOKUP($I230,Veg_Parameters!$A$3:$N$65,12,FALSE)),0,(VLOOKUP($I230,Veg_Parameters!$A$3:$N$65,12,FALSE))))</f>
        <v>0</v>
      </c>
      <c r="Z230" s="525">
        <f t="shared" si="324"/>
        <v>0</v>
      </c>
      <c r="AA230" s="525">
        <f t="shared" si="325"/>
        <v>0</v>
      </c>
      <c r="AB230" s="525">
        <f t="shared" si="326"/>
        <v>0</v>
      </c>
      <c r="AC230" s="524">
        <f>IF(ISBLANK(N230),0,IF(ISNA(VLOOKUP($N230,Veg_Parameters!$A$3:$N$65,10,FALSE)),0,(VLOOKUP($N230,Veg_Parameters!$A$3:$N$65,10,FALSE))))</f>
        <v>0</v>
      </c>
      <c r="AD230" s="524">
        <f>IF(ISBLANK(N230),0,IF(ISNA(VLOOKUP($N230,Veg_Parameters!$A$3:$N$65,11,FALSE)),0,(VLOOKUP($N230,Veg_Parameters!$A$3:$N$65,11,FALSE))))</f>
        <v>0</v>
      </c>
      <c r="AE230" s="524">
        <f>IF(ISBLANK(N230), 0, IF(ISNA(VLOOKUP($N230,Veg_Parameters!$A$3:$N$65,12,FALSE)),0,(VLOOKUP($N230,Veg_Parameters!$A$3:$N$65,12,FALSE))))</f>
        <v>0</v>
      </c>
      <c r="AF230" s="523">
        <f t="shared" si="327"/>
        <v>0</v>
      </c>
      <c r="AG230" s="523">
        <f t="shared" si="328"/>
        <v>0</v>
      </c>
      <c r="AH230" s="523">
        <f t="shared" si="329"/>
        <v>0</v>
      </c>
      <c r="AI230" s="526"/>
      <c r="AJ230" s="527">
        <f>AB230*(IF(ISNA(VLOOKUP($I230,Veg_Parameters!$A$3:$N$65,5,FALSE)),0,(VLOOKUP($I230,Veg_Parameters!$A$3:$N$65,5,FALSE))))</f>
        <v>0</v>
      </c>
      <c r="AK230" s="527">
        <f>IF(ISNA(VLOOKUP($I230,Veg_Parameters!$A$3:$N$65,4,FALSE)),0,(VLOOKUP($I230,Veg_Parameters!$A$3:$N$65,4,FALSE)))</f>
        <v>0</v>
      </c>
      <c r="AL230" s="527">
        <f>AB230*(IF(ISNA(VLOOKUP($I230,Veg_Parameters!$A$3:$N$65,7,FALSE)),0, (VLOOKUP($I230,Veg_Parameters!$A$3:$N$65,7,FALSE))))</f>
        <v>0</v>
      </c>
      <c r="AM230" s="528">
        <f>IF(ISNA(VLOOKUP($I230,Veg_Parameters!$A$3:$N$65,6,FALSE)), 0, (VLOOKUP($I230,Veg_Parameters!$A$3:$N$65,6,FALSE)))</f>
        <v>0</v>
      </c>
      <c r="AN230" s="529">
        <f t="shared" si="330"/>
        <v>20</v>
      </c>
      <c r="AO230" s="529">
        <f t="shared" si="331"/>
        <v>0</v>
      </c>
      <c r="AP230" s="529">
        <f t="shared" si="332"/>
        <v>0</v>
      </c>
      <c r="AQ230" s="530">
        <f t="shared" si="348"/>
        <v>0</v>
      </c>
      <c r="AR230" s="527" t="s">
        <v>3</v>
      </c>
      <c r="AS230" s="527">
        <f>IF(ISNA(VLOOKUP($I230,Veg_Parameters!$A$3:$N$65,8,FALSE)), 0, (VLOOKUP($I230,Veg_Parameters!$A$3:$N$65,8,FALSE)))</f>
        <v>0</v>
      </c>
      <c r="AT230" s="527">
        <f>AB230*(IF(ISNA(VLOOKUP($I230,Veg_Parameters!$A$3:$N$65,9,FALSE)), 0, (VLOOKUP($I230,Veg_Parameters!$A$3:$N$65,9,FALSE))))</f>
        <v>0</v>
      </c>
      <c r="AU230" s="527">
        <f>IF(ISBLANK(A230),0,VLOOKUP($I230,Veg_Parameters!$A$4:$U$65,21,))</f>
        <v>0</v>
      </c>
      <c r="AV230" s="527">
        <f t="shared" si="349"/>
        <v>0</v>
      </c>
      <c r="AW230" s="529">
        <f t="shared" si="350"/>
        <v>0</v>
      </c>
      <c r="AX230" s="529">
        <f t="shared" si="351"/>
        <v>0</v>
      </c>
      <c r="AY230" s="529">
        <f t="shared" si="333"/>
        <v>0</v>
      </c>
      <c r="AZ230" s="529">
        <f t="shared" si="352"/>
        <v>0</v>
      </c>
      <c r="BA230" s="529">
        <f t="shared" si="353"/>
        <v>0</v>
      </c>
      <c r="BB230" s="529">
        <f t="shared" si="354"/>
        <v>0</v>
      </c>
      <c r="BC230" s="529">
        <f t="shared" si="334"/>
        <v>0</v>
      </c>
      <c r="BD230" s="531"/>
      <c r="BE230" s="527">
        <f>AH230*(IF(ISNA(VLOOKUP($N230,Veg_Parameters!$A$3:$N$65,5,FALSE)),0,(VLOOKUP($N230,Veg_Parameters!$A$3:$N$65,5,FALSE))))</f>
        <v>0</v>
      </c>
      <c r="BF230" s="527">
        <f>IF(ISNA(VLOOKUP($N230,Veg_Parameters!$A$3:$N$65,4,FALSE)),0,(VLOOKUP($N230,Veg_Parameters!$A$3:$N$65,4,FALSE)))</f>
        <v>0</v>
      </c>
      <c r="BG230" s="527">
        <f>AH230*(IF(ISNA(VLOOKUP($N230,Veg_Parameters!$A$3:$N$65,7,FALSE)),0, (VLOOKUP($N230,Veg_Parameters!$A$3:$N$65,7,FALSE))))</f>
        <v>0</v>
      </c>
      <c r="BH230" s="527">
        <f>IF(ISNA(VLOOKUP($N230,Veg_Parameters!$A$3:$N$65,6,FALSE)), 0, (VLOOKUP($N230,Veg_Parameters!$A$3:$N$65,6,FALSE)))</f>
        <v>0</v>
      </c>
      <c r="BI230" s="529">
        <f t="shared" si="335"/>
        <v>20</v>
      </c>
      <c r="BJ230" s="529">
        <f t="shared" si="355"/>
        <v>0</v>
      </c>
      <c r="BK230" s="529">
        <f t="shared" si="336"/>
        <v>0</v>
      </c>
      <c r="BL230" s="530">
        <f t="shared" si="356"/>
        <v>0</v>
      </c>
      <c r="BM230" s="527" t="s">
        <v>3</v>
      </c>
      <c r="BN230" s="527">
        <f>IF(ISNA(VLOOKUP(N230,Veg_Parameters!$A$3:$N$65,8,FALSE)), 0, (VLOOKUP($N230,Veg_Parameters!$A$3:$N$65,8,FALSE)))</f>
        <v>0</v>
      </c>
      <c r="BO230" s="527">
        <f>AH230*(IF(ISNA(VLOOKUP($N230,Veg_Parameters!$A$3:$N$65,9,FALSE)), 0, (VLOOKUP($N230,Veg_Parameters!$A$3:$N$65,9,FALSE))))</f>
        <v>0</v>
      </c>
      <c r="BP230" s="527" t="str">
        <f>IF(ISBLANK(N230),"0",VLOOKUP($N230,Veg_Parameters!$A$4:$U$65,21,))</f>
        <v>0</v>
      </c>
      <c r="BQ230" s="529">
        <f t="shared" si="357"/>
        <v>0</v>
      </c>
      <c r="BR230" s="529">
        <f t="shared" si="358"/>
        <v>0</v>
      </c>
      <c r="BS230" s="529">
        <f t="shared" si="337"/>
        <v>0</v>
      </c>
      <c r="BT230" s="529">
        <f t="shared" si="359"/>
        <v>0</v>
      </c>
      <c r="BU230" s="529">
        <f t="shared" si="360"/>
        <v>0</v>
      </c>
      <c r="BV230" s="529">
        <f t="shared" si="361"/>
        <v>0</v>
      </c>
      <c r="BW230" s="532" t="str">
        <f t="shared" si="338"/>
        <v/>
      </c>
      <c r="BX230" s="532" t="str">
        <f t="shared" si="339"/>
        <v/>
      </c>
      <c r="BY230" s="532" t="str">
        <f t="shared" si="340"/>
        <v/>
      </c>
      <c r="BZ230" s="532" t="str">
        <f t="shared" si="341"/>
        <v/>
      </c>
      <c r="CA230" s="532">
        <f t="shared" si="342"/>
        <v>0</v>
      </c>
      <c r="CB230" s="533"/>
      <c r="CC230" s="624">
        <f t="shared" si="343"/>
        <v>0</v>
      </c>
      <c r="CD230" s="534">
        <f t="shared" si="344"/>
        <v>0</v>
      </c>
      <c r="CE230" s="534">
        <f t="shared" si="345"/>
        <v>0</v>
      </c>
      <c r="CF230" s="534">
        <f t="shared" si="346"/>
        <v>0</v>
      </c>
      <c r="CG230" s="534"/>
      <c r="CH230" s="534"/>
      <c r="CI230" s="534">
        <f t="shared" si="362"/>
        <v>0</v>
      </c>
      <c r="CL230" s="534">
        <f>IF(ISNA(VLOOKUP(I230,Veg_Parameters!$A$3:$N$65,13,FALSE)),0,(VLOOKUP(I230,Veg_Parameters!$A$3:$N$65,13,FALSE)))</f>
        <v>0</v>
      </c>
      <c r="CM230" s="534">
        <f t="shared" si="363"/>
        <v>0</v>
      </c>
      <c r="CN230" s="534">
        <f>IF(ISNA(VLOOKUP(N230,Veg_Parameters!$A$3:$N$65,13,FALSE)),0,(VLOOKUP(N230,Veg_Parameters!$A$3:$N$65,13,FALSE)))</f>
        <v>0</v>
      </c>
      <c r="CO230" s="523">
        <f t="shared" si="364"/>
        <v>0</v>
      </c>
    </row>
    <row r="231" spans="1:93" x14ac:dyDescent="0.2">
      <c r="A231" s="227"/>
      <c r="B231" s="171" t="str">
        <f t="shared" si="365"/>
        <v/>
      </c>
      <c r="C231" s="230"/>
      <c r="D231" s="169"/>
      <c r="E231" s="165"/>
      <c r="F231" s="165"/>
      <c r="G231" s="165"/>
      <c r="H231" s="165"/>
      <c r="I231" s="168"/>
      <c r="J231" s="167"/>
      <c r="K231" s="168"/>
      <c r="L231" s="167"/>
      <c r="M231" s="167"/>
      <c r="N231" s="168"/>
      <c r="O231" s="168"/>
      <c r="P231" s="167"/>
      <c r="Q231" s="167"/>
      <c r="R231" s="167"/>
      <c r="S231" s="222" t="str">
        <f>IF(ISBLANK(A231),"",IF(ISNA(VLOOKUP(I231,Veg_Parameters!$A$3:$N$65,3,FALSE)),0,(VLOOKUP(I231,Veg_Parameters!$A$3:$N$65,3,FALSE))))</f>
        <v/>
      </c>
      <c r="T231" s="222" t="str">
        <f>IF(ISBLANK(N231),"",IF(ISNA(VLOOKUP(N231,Veg_Parameters!$A$3:$N$65,3,FALSE)),0,(VLOOKUP(N231,Veg_Parameters!$A$3:$N$65,3,FALSE))))</f>
        <v/>
      </c>
      <c r="U231" s="523">
        <f t="shared" si="347"/>
        <v>0</v>
      </c>
      <c r="V231" s="523">
        <f t="shared" si="323"/>
        <v>0</v>
      </c>
      <c r="W231" s="524">
        <f>IF(ISBLANK(A231),0,IF(ISNA(VLOOKUP($I231,Veg_Parameters!$A$3:$N$65,10,FALSE)),0,(VLOOKUP($I231,Veg_Parameters!$A$3:$N$65,10,FALSE))))</f>
        <v>0</v>
      </c>
      <c r="X231" s="524">
        <f>IF(ISBLANK(A231),0,IF(ISNA(VLOOKUP($I231,Veg_Parameters!$A$3:$N$65,11,FALSE)),0,(VLOOKUP($I231,Veg_Parameters!$A$3:$N$65,11,FALSE))))</f>
        <v>0</v>
      </c>
      <c r="Y231" s="524">
        <f>IF(ISBLANK(A231),0,IF(ISNA(VLOOKUP($I231,Veg_Parameters!$A$3:$N$65,12,FALSE)),0,(VLOOKUP($I231,Veg_Parameters!$A$3:$N$65,12,FALSE))))</f>
        <v>0</v>
      </c>
      <c r="Z231" s="525">
        <f t="shared" si="324"/>
        <v>0</v>
      </c>
      <c r="AA231" s="525">
        <f t="shared" si="325"/>
        <v>0</v>
      </c>
      <c r="AB231" s="525">
        <f t="shared" si="326"/>
        <v>0</v>
      </c>
      <c r="AC231" s="524">
        <f>IF(ISBLANK(N231),0,IF(ISNA(VLOOKUP($N231,Veg_Parameters!$A$3:$N$65,10,FALSE)),0,(VLOOKUP($N231,Veg_Parameters!$A$3:$N$65,10,FALSE))))</f>
        <v>0</v>
      </c>
      <c r="AD231" s="524">
        <f>IF(ISBLANK(N231),0,IF(ISNA(VLOOKUP($N231,Veg_Parameters!$A$3:$N$65,11,FALSE)),0,(VLOOKUP($N231,Veg_Parameters!$A$3:$N$65,11,FALSE))))</f>
        <v>0</v>
      </c>
      <c r="AE231" s="524">
        <f>IF(ISBLANK(N231), 0, IF(ISNA(VLOOKUP($N231,Veg_Parameters!$A$3:$N$65,12,FALSE)),0,(VLOOKUP($N231,Veg_Parameters!$A$3:$N$65,12,FALSE))))</f>
        <v>0</v>
      </c>
      <c r="AF231" s="523">
        <f t="shared" si="327"/>
        <v>0</v>
      </c>
      <c r="AG231" s="523">
        <f t="shared" si="328"/>
        <v>0</v>
      </c>
      <c r="AH231" s="523">
        <f t="shared" si="329"/>
        <v>0</v>
      </c>
      <c r="AI231" s="526"/>
      <c r="AJ231" s="527">
        <f>AB231*(IF(ISNA(VLOOKUP($I231,Veg_Parameters!$A$3:$N$65,5,FALSE)),0,(VLOOKUP($I231,Veg_Parameters!$A$3:$N$65,5,FALSE))))</f>
        <v>0</v>
      </c>
      <c r="AK231" s="527">
        <f>IF(ISNA(VLOOKUP($I231,Veg_Parameters!$A$3:$N$65,4,FALSE)),0,(VLOOKUP($I231,Veg_Parameters!$A$3:$N$65,4,FALSE)))</f>
        <v>0</v>
      </c>
      <c r="AL231" s="527">
        <f>AB231*(IF(ISNA(VLOOKUP($I231,Veg_Parameters!$A$3:$N$65,7,FALSE)),0, (VLOOKUP($I231,Veg_Parameters!$A$3:$N$65,7,FALSE))))</f>
        <v>0</v>
      </c>
      <c r="AM231" s="528">
        <f>IF(ISNA(VLOOKUP($I231,Veg_Parameters!$A$3:$N$65,6,FALSE)), 0, (VLOOKUP($I231,Veg_Parameters!$A$3:$N$65,6,FALSE)))</f>
        <v>0</v>
      </c>
      <c r="AN231" s="529">
        <f t="shared" si="330"/>
        <v>20</v>
      </c>
      <c r="AO231" s="529">
        <f t="shared" si="331"/>
        <v>0</v>
      </c>
      <c r="AP231" s="529">
        <f t="shared" si="332"/>
        <v>0</v>
      </c>
      <c r="AQ231" s="530">
        <f t="shared" si="348"/>
        <v>0</v>
      </c>
      <c r="AR231" s="527" t="s">
        <v>3</v>
      </c>
      <c r="AS231" s="527">
        <f>IF(ISNA(VLOOKUP($I231,Veg_Parameters!$A$3:$N$65,8,FALSE)), 0, (VLOOKUP($I231,Veg_Parameters!$A$3:$N$65,8,FALSE)))</f>
        <v>0</v>
      </c>
      <c r="AT231" s="527">
        <f>AB231*(IF(ISNA(VLOOKUP($I231,Veg_Parameters!$A$3:$N$65,9,FALSE)), 0, (VLOOKUP($I231,Veg_Parameters!$A$3:$N$65,9,FALSE))))</f>
        <v>0</v>
      </c>
      <c r="AU231" s="527">
        <f>IF(ISBLANK(A231),0,VLOOKUP($I231,Veg_Parameters!$A$4:$U$65,21,))</f>
        <v>0</v>
      </c>
      <c r="AV231" s="527">
        <f t="shared" si="349"/>
        <v>0</v>
      </c>
      <c r="AW231" s="529">
        <f t="shared" si="350"/>
        <v>0</v>
      </c>
      <c r="AX231" s="529">
        <f t="shared" si="351"/>
        <v>0</v>
      </c>
      <c r="AY231" s="529">
        <f t="shared" si="333"/>
        <v>0</v>
      </c>
      <c r="AZ231" s="529">
        <f t="shared" si="352"/>
        <v>0</v>
      </c>
      <c r="BA231" s="529">
        <f t="shared" si="353"/>
        <v>0</v>
      </c>
      <c r="BB231" s="529">
        <f t="shared" si="354"/>
        <v>0</v>
      </c>
      <c r="BC231" s="529">
        <f t="shared" si="334"/>
        <v>0</v>
      </c>
      <c r="BD231" s="531"/>
      <c r="BE231" s="527">
        <f>AH231*(IF(ISNA(VLOOKUP($N231,Veg_Parameters!$A$3:$N$65,5,FALSE)),0,(VLOOKUP($N231,Veg_Parameters!$A$3:$N$65,5,FALSE))))</f>
        <v>0</v>
      </c>
      <c r="BF231" s="527">
        <f>IF(ISNA(VLOOKUP($N231,Veg_Parameters!$A$3:$N$65,4,FALSE)),0,(VLOOKUP($N231,Veg_Parameters!$A$3:$N$65,4,FALSE)))</f>
        <v>0</v>
      </c>
      <c r="BG231" s="527">
        <f>AH231*(IF(ISNA(VLOOKUP($N231,Veg_Parameters!$A$3:$N$65,7,FALSE)),0, (VLOOKUP($N231,Veg_Parameters!$A$3:$N$65,7,FALSE))))</f>
        <v>0</v>
      </c>
      <c r="BH231" s="527">
        <f>IF(ISNA(VLOOKUP($N231,Veg_Parameters!$A$3:$N$65,6,FALSE)), 0, (VLOOKUP($N231,Veg_Parameters!$A$3:$N$65,6,FALSE)))</f>
        <v>0</v>
      </c>
      <c r="BI231" s="529">
        <f t="shared" si="335"/>
        <v>20</v>
      </c>
      <c r="BJ231" s="529">
        <f t="shared" si="355"/>
        <v>0</v>
      </c>
      <c r="BK231" s="529">
        <f t="shared" si="336"/>
        <v>0</v>
      </c>
      <c r="BL231" s="530">
        <f t="shared" si="356"/>
        <v>0</v>
      </c>
      <c r="BM231" s="527" t="s">
        <v>3</v>
      </c>
      <c r="BN231" s="527">
        <f>IF(ISNA(VLOOKUP(N231,Veg_Parameters!$A$3:$N$65,8,FALSE)), 0, (VLOOKUP($N231,Veg_Parameters!$A$3:$N$65,8,FALSE)))</f>
        <v>0</v>
      </c>
      <c r="BO231" s="527">
        <f>AH231*(IF(ISNA(VLOOKUP($N231,Veg_Parameters!$A$3:$N$65,9,FALSE)), 0, (VLOOKUP($N231,Veg_Parameters!$A$3:$N$65,9,FALSE))))</f>
        <v>0</v>
      </c>
      <c r="BP231" s="527" t="str">
        <f>IF(ISBLANK(N231),"0",VLOOKUP($N231,Veg_Parameters!$A$4:$U$65,21,))</f>
        <v>0</v>
      </c>
      <c r="BQ231" s="529">
        <f t="shared" si="357"/>
        <v>0</v>
      </c>
      <c r="BR231" s="529">
        <f t="shared" si="358"/>
        <v>0</v>
      </c>
      <c r="BS231" s="529">
        <f t="shared" si="337"/>
        <v>0</v>
      </c>
      <c r="BT231" s="529">
        <f t="shared" si="359"/>
        <v>0</v>
      </c>
      <c r="BU231" s="529">
        <f t="shared" si="360"/>
        <v>0</v>
      </c>
      <c r="BV231" s="529">
        <f t="shared" si="361"/>
        <v>0</v>
      </c>
      <c r="BW231" s="532" t="str">
        <f t="shared" si="338"/>
        <v/>
      </c>
      <c r="BX231" s="532" t="str">
        <f t="shared" si="339"/>
        <v/>
      </c>
      <c r="BY231" s="532" t="str">
        <f t="shared" si="340"/>
        <v/>
      </c>
      <c r="BZ231" s="532" t="str">
        <f t="shared" si="341"/>
        <v/>
      </c>
      <c r="CA231" s="532">
        <f t="shared" si="342"/>
        <v>0</v>
      </c>
      <c r="CB231" s="533"/>
      <c r="CC231" s="624">
        <f t="shared" si="343"/>
        <v>0</v>
      </c>
      <c r="CD231" s="534">
        <f t="shared" si="344"/>
        <v>0</v>
      </c>
      <c r="CE231" s="534">
        <f t="shared" si="345"/>
        <v>0</v>
      </c>
      <c r="CF231" s="534">
        <f t="shared" si="346"/>
        <v>0</v>
      </c>
      <c r="CG231" s="534"/>
      <c r="CH231" s="534"/>
      <c r="CI231" s="534">
        <f t="shared" si="362"/>
        <v>0</v>
      </c>
      <c r="CL231" s="534">
        <f>IF(ISNA(VLOOKUP(I231,Veg_Parameters!$A$3:$N$65,13,FALSE)),0,(VLOOKUP(I231,Veg_Parameters!$A$3:$N$65,13,FALSE)))</f>
        <v>0</v>
      </c>
      <c r="CM231" s="534">
        <f t="shared" si="363"/>
        <v>0</v>
      </c>
      <c r="CN231" s="534">
        <f>IF(ISNA(VLOOKUP(N231,Veg_Parameters!$A$3:$N$65,13,FALSE)),0,(VLOOKUP(N231,Veg_Parameters!$A$3:$N$65,13,FALSE)))</f>
        <v>0</v>
      </c>
      <c r="CO231" s="523">
        <f t="shared" si="364"/>
        <v>0</v>
      </c>
    </row>
    <row r="232" spans="1:93" x14ac:dyDescent="0.2">
      <c r="A232" s="227"/>
      <c r="B232" s="171" t="str">
        <f t="shared" si="365"/>
        <v/>
      </c>
      <c r="C232" s="230"/>
      <c r="D232" s="169"/>
      <c r="E232" s="165"/>
      <c r="F232" s="165"/>
      <c r="G232" s="165"/>
      <c r="H232" s="165"/>
      <c r="I232" s="168"/>
      <c r="J232" s="167"/>
      <c r="K232" s="168"/>
      <c r="L232" s="167"/>
      <c r="M232" s="167"/>
      <c r="N232" s="168"/>
      <c r="O232" s="168"/>
      <c r="P232" s="167"/>
      <c r="Q232" s="167"/>
      <c r="R232" s="167"/>
      <c r="S232" s="222" t="str">
        <f>IF(ISBLANK(A232),"",IF(ISNA(VLOOKUP(I232,Veg_Parameters!$A$3:$N$65,3,FALSE)),0,(VLOOKUP(I232,Veg_Parameters!$A$3:$N$65,3,FALSE))))</f>
        <v/>
      </c>
      <c r="T232" s="222" t="str">
        <f>IF(ISBLANK(N232),"",IF(ISNA(VLOOKUP(N232,Veg_Parameters!$A$3:$N$65,3,FALSE)),0,(VLOOKUP(N232,Veg_Parameters!$A$3:$N$65,3,FALSE))))</f>
        <v/>
      </c>
      <c r="U232" s="523">
        <f t="shared" si="347"/>
        <v>0</v>
      </c>
      <c r="V232" s="523">
        <f t="shared" si="323"/>
        <v>0</v>
      </c>
      <c r="W232" s="524">
        <f>IF(ISBLANK(A232),0,IF(ISNA(VLOOKUP($I232,Veg_Parameters!$A$3:$N$65,10,FALSE)),0,(VLOOKUP($I232,Veg_Parameters!$A$3:$N$65,10,FALSE))))</f>
        <v>0</v>
      </c>
      <c r="X232" s="524">
        <f>IF(ISBLANK(A232),0,IF(ISNA(VLOOKUP($I232,Veg_Parameters!$A$3:$N$65,11,FALSE)),0,(VLOOKUP($I232,Veg_Parameters!$A$3:$N$65,11,FALSE))))</f>
        <v>0</v>
      </c>
      <c r="Y232" s="524">
        <f>IF(ISBLANK(A232),0,IF(ISNA(VLOOKUP($I232,Veg_Parameters!$A$3:$N$65,12,FALSE)),0,(VLOOKUP($I232,Veg_Parameters!$A$3:$N$65,12,FALSE))))</f>
        <v>0</v>
      </c>
      <c r="Z232" s="525">
        <f t="shared" si="324"/>
        <v>0</v>
      </c>
      <c r="AA232" s="525">
        <f t="shared" si="325"/>
        <v>0</v>
      </c>
      <c r="AB232" s="525">
        <f t="shared" si="326"/>
        <v>0</v>
      </c>
      <c r="AC232" s="524">
        <f>IF(ISBLANK(N232),0,IF(ISNA(VLOOKUP($N232,Veg_Parameters!$A$3:$N$65,10,FALSE)),0,(VLOOKUP($N232,Veg_Parameters!$A$3:$N$65,10,FALSE))))</f>
        <v>0</v>
      </c>
      <c r="AD232" s="524">
        <f>IF(ISBLANK(N232),0,IF(ISNA(VLOOKUP($N232,Veg_Parameters!$A$3:$N$65,11,FALSE)),0,(VLOOKUP($N232,Veg_Parameters!$A$3:$N$65,11,FALSE))))</f>
        <v>0</v>
      </c>
      <c r="AE232" s="524">
        <f>IF(ISBLANK(N232), 0, IF(ISNA(VLOOKUP($N232,Veg_Parameters!$A$3:$N$65,12,FALSE)),0,(VLOOKUP($N232,Veg_Parameters!$A$3:$N$65,12,FALSE))))</f>
        <v>0</v>
      </c>
      <c r="AF232" s="523">
        <f t="shared" si="327"/>
        <v>0</v>
      </c>
      <c r="AG232" s="523">
        <f t="shared" si="328"/>
        <v>0</v>
      </c>
      <c r="AH232" s="523">
        <f t="shared" si="329"/>
        <v>0</v>
      </c>
      <c r="AI232" s="526"/>
      <c r="AJ232" s="527">
        <f>AB232*(IF(ISNA(VLOOKUP($I232,Veg_Parameters!$A$3:$N$65,5,FALSE)),0,(VLOOKUP($I232,Veg_Parameters!$A$3:$N$65,5,FALSE))))</f>
        <v>0</v>
      </c>
      <c r="AK232" s="527">
        <f>IF(ISNA(VLOOKUP($I232,Veg_Parameters!$A$3:$N$65,4,FALSE)),0,(VLOOKUP($I232,Veg_Parameters!$A$3:$N$65,4,FALSE)))</f>
        <v>0</v>
      </c>
      <c r="AL232" s="527">
        <f>AB232*(IF(ISNA(VLOOKUP($I232,Veg_Parameters!$A$3:$N$65,7,FALSE)),0, (VLOOKUP($I232,Veg_Parameters!$A$3:$N$65,7,FALSE))))</f>
        <v>0</v>
      </c>
      <c r="AM232" s="528">
        <f>IF(ISNA(VLOOKUP($I232,Veg_Parameters!$A$3:$N$65,6,FALSE)), 0, (VLOOKUP($I232,Veg_Parameters!$A$3:$N$65,6,FALSE)))</f>
        <v>0</v>
      </c>
      <c r="AN232" s="529">
        <f t="shared" si="330"/>
        <v>20</v>
      </c>
      <c r="AO232" s="529">
        <f t="shared" si="331"/>
        <v>0</v>
      </c>
      <c r="AP232" s="529">
        <f t="shared" si="332"/>
        <v>0</v>
      </c>
      <c r="AQ232" s="530">
        <f t="shared" si="348"/>
        <v>0</v>
      </c>
      <c r="AR232" s="527" t="s">
        <v>3</v>
      </c>
      <c r="AS232" s="527">
        <f>IF(ISNA(VLOOKUP($I232,Veg_Parameters!$A$3:$N$65,8,FALSE)), 0, (VLOOKUP($I232,Veg_Parameters!$A$3:$N$65,8,FALSE)))</f>
        <v>0</v>
      </c>
      <c r="AT232" s="527">
        <f>AB232*(IF(ISNA(VLOOKUP($I232,Veg_Parameters!$A$3:$N$65,9,FALSE)), 0, (VLOOKUP($I232,Veg_Parameters!$A$3:$N$65,9,FALSE))))</f>
        <v>0</v>
      </c>
      <c r="AU232" s="527">
        <f>IF(ISBLANK(A232),0,VLOOKUP($I232,Veg_Parameters!$A$4:$U$65,21,))</f>
        <v>0</v>
      </c>
      <c r="AV232" s="527">
        <f t="shared" si="349"/>
        <v>0</v>
      </c>
      <c r="AW232" s="529">
        <f t="shared" si="350"/>
        <v>0</v>
      </c>
      <c r="AX232" s="529">
        <f t="shared" si="351"/>
        <v>0</v>
      </c>
      <c r="AY232" s="529">
        <f t="shared" si="333"/>
        <v>0</v>
      </c>
      <c r="AZ232" s="529">
        <f t="shared" si="352"/>
        <v>0</v>
      </c>
      <c r="BA232" s="529">
        <f t="shared" si="353"/>
        <v>0</v>
      </c>
      <c r="BB232" s="529">
        <f t="shared" si="354"/>
        <v>0</v>
      </c>
      <c r="BC232" s="529">
        <f t="shared" si="334"/>
        <v>0</v>
      </c>
      <c r="BD232" s="531"/>
      <c r="BE232" s="527">
        <f>AH232*(IF(ISNA(VLOOKUP($N232,Veg_Parameters!$A$3:$N$65,5,FALSE)),0,(VLOOKUP($N232,Veg_Parameters!$A$3:$N$65,5,FALSE))))</f>
        <v>0</v>
      </c>
      <c r="BF232" s="527">
        <f>IF(ISNA(VLOOKUP($N232,Veg_Parameters!$A$3:$N$65,4,FALSE)),0,(VLOOKUP($N232,Veg_Parameters!$A$3:$N$65,4,FALSE)))</f>
        <v>0</v>
      </c>
      <c r="BG232" s="527">
        <f>AH232*(IF(ISNA(VLOOKUP($N232,Veg_Parameters!$A$3:$N$65,7,FALSE)),0, (VLOOKUP($N232,Veg_Parameters!$A$3:$N$65,7,FALSE))))</f>
        <v>0</v>
      </c>
      <c r="BH232" s="527">
        <f>IF(ISNA(VLOOKUP($N232,Veg_Parameters!$A$3:$N$65,6,FALSE)), 0, (VLOOKUP($N232,Veg_Parameters!$A$3:$N$65,6,FALSE)))</f>
        <v>0</v>
      </c>
      <c r="BI232" s="529">
        <f t="shared" si="335"/>
        <v>20</v>
      </c>
      <c r="BJ232" s="529">
        <f t="shared" si="355"/>
        <v>0</v>
      </c>
      <c r="BK232" s="529">
        <f t="shared" si="336"/>
        <v>0</v>
      </c>
      <c r="BL232" s="530">
        <f t="shared" si="356"/>
        <v>0</v>
      </c>
      <c r="BM232" s="527" t="s">
        <v>3</v>
      </c>
      <c r="BN232" s="527">
        <f>IF(ISNA(VLOOKUP(N232,Veg_Parameters!$A$3:$N$65,8,FALSE)), 0, (VLOOKUP($N232,Veg_Parameters!$A$3:$N$65,8,FALSE)))</f>
        <v>0</v>
      </c>
      <c r="BO232" s="527">
        <f>AH232*(IF(ISNA(VLOOKUP($N232,Veg_Parameters!$A$3:$N$65,9,FALSE)), 0, (VLOOKUP($N232,Veg_Parameters!$A$3:$N$65,9,FALSE))))</f>
        <v>0</v>
      </c>
      <c r="BP232" s="527" t="str">
        <f>IF(ISBLANK(N232),"0",VLOOKUP($N232,Veg_Parameters!$A$4:$U$65,21,))</f>
        <v>0</v>
      </c>
      <c r="BQ232" s="529">
        <f t="shared" si="357"/>
        <v>0</v>
      </c>
      <c r="BR232" s="529">
        <f t="shared" si="358"/>
        <v>0</v>
      </c>
      <c r="BS232" s="529">
        <f t="shared" si="337"/>
        <v>0</v>
      </c>
      <c r="BT232" s="529">
        <f t="shared" si="359"/>
        <v>0</v>
      </c>
      <c r="BU232" s="529">
        <f t="shared" si="360"/>
        <v>0</v>
      </c>
      <c r="BV232" s="529">
        <f t="shared" si="361"/>
        <v>0</v>
      </c>
      <c r="BW232" s="532" t="str">
        <f t="shared" si="338"/>
        <v/>
      </c>
      <c r="BX232" s="532" t="str">
        <f t="shared" si="339"/>
        <v/>
      </c>
      <c r="BY232" s="532" t="str">
        <f t="shared" si="340"/>
        <v/>
      </c>
      <c r="BZ232" s="532" t="str">
        <f t="shared" si="341"/>
        <v/>
      </c>
      <c r="CA232" s="532">
        <f t="shared" si="342"/>
        <v>0</v>
      </c>
      <c r="CB232" s="533"/>
      <c r="CC232" s="624">
        <f t="shared" si="343"/>
        <v>0</v>
      </c>
      <c r="CD232" s="534">
        <f t="shared" si="344"/>
        <v>0</v>
      </c>
      <c r="CE232" s="534">
        <f t="shared" si="345"/>
        <v>0</v>
      </c>
      <c r="CF232" s="534">
        <f t="shared" si="346"/>
        <v>0</v>
      </c>
      <c r="CG232" s="534"/>
      <c r="CH232" s="534"/>
      <c r="CI232" s="534">
        <f t="shared" si="362"/>
        <v>0</v>
      </c>
      <c r="CL232" s="534">
        <f>IF(ISNA(VLOOKUP(I232,Veg_Parameters!$A$3:$N$65,13,FALSE)),0,(VLOOKUP(I232,Veg_Parameters!$A$3:$N$65,13,FALSE)))</f>
        <v>0</v>
      </c>
      <c r="CM232" s="534">
        <f t="shared" si="363"/>
        <v>0</v>
      </c>
      <c r="CN232" s="534">
        <f>IF(ISNA(VLOOKUP(N232,Veg_Parameters!$A$3:$N$65,13,FALSE)),0,(VLOOKUP(N232,Veg_Parameters!$A$3:$N$65,13,FALSE)))</f>
        <v>0</v>
      </c>
      <c r="CO232" s="523">
        <f t="shared" si="364"/>
        <v>0</v>
      </c>
    </row>
    <row r="233" spans="1:93" x14ac:dyDescent="0.2">
      <c r="A233" s="227"/>
      <c r="B233" s="171" t="str">
        <f t="shared" si="365"/>
        <v/>
      </c>
      <c r="C233" s="230"/>
      <c r="D233" s="169"/>
      <c r="E233" s="165"/>
      <c r="F233" s="165"/>
      <c r="G233" s="165"/>
      <c r="H233" s="165"/>
      <c r="I233" s="168"/>
      <c r="J233" s="167"/>
      <c r="K233" s="168"/>
      <c r="L233" s="167"/>
      <c r="M233" s="167"/>
      <c r="N233" s="168"/>
      <c r="O233" s="168"/>
      <c r="P233" s="167"/>
      <c r="Q233" s="167"/>
      <c r="R233" s="167"/>
      <c r="S233" s="222" t="str">
        <f>IF(ISBLANK(A233),"",IF(ISNA(VLOOKUP(I233,Veg_Parameters!$A$3:$N$65,3,FALSE)),0,(VLOOKUP(I233,Veg_Parameters!$A$3:$N$65,3,FALSE))))</f>
        <v/>
      </c>
      <c r="T233" s="222" t="str">
        <f>IF(ISBLANK(N233),"",IF(ISNA(VLOOKUP(N233,Veg_Parameters!$A$3:$N$65,3,FALSE)),0,(VLOOKUP(N233,Veg_Parameters!$A$3:$N$65,3,FALSE))))</f>
        <v/>
      </c>
      <c r="U233" s="523">
        <f t="shared" si="347"/>
        <v>0</v>
      </c>
      <c r="V233" s="523">
        <f t="shared" si="323"/>
        <v>0</v>
      </c>
      <c r="W233" s="524">
        <f>IF(ISBLANK(A233),0,IF(ISNA(VLOOKUP($I233,Veg_Parameters!$A$3:$N$65,10,FALSE)),0,(VLOOKUP($I233,Veg_Parameters!$A$3:$N$65,10,FALSE))))</f>
        <v>0</v>
      </c>
      <c r="X233" s="524">
        <f>IF(ISBLANK(A233),0,IF(ISNA(VLOOKUP($I233,Veg_Parameters!$A$3:$N$65,11,FALSE)),0,(VLOOKUP($I233,Veg_Parameters!$A$3:$N$65,11,FALSE))))</f>
        <v>0</v>
      </c>
      <c r="Y233" s="524">
        <f>IF(ISBLANK(A233),0,IF(ISNA(VLOOKUP($I233,Veg_Parameters!$A$3:$N$65,12,FALSE)),0,(VLOOKUP($I233,Veg_Parameters!$A$3:$N$65,12,FALSE))))</f>
        <v>0</v>
      </c>
      <c r="Z233" s="525">
        <f t="shared" si="324"/>
        <v>0</v>
      </c>
      <c r="AA233" s="525">
        <f t="shared" si="325"/>
        <v>0</v>
      </c>
      <c r="AB233" s="525">
        <f t="shared" si="326"/>
        <v>0</v>
      </c>
      <c r="AC233" s="524">
        <f>IF(ISBLANK(N233),0,IF(ISNA(VLOOKUP($N233,Veg_Parameters!$A$3:$N$65,10,FALSE)),0,(VLOOKUP($N233,Veg_Parameters!$A$3:$N$65,10,FALSE))))</f>
        <v>0</v>
      </c>
      <c r="AD233" s="524">
        <f>IF(ISBLANK(N233),0,IF(ISNA(VLOOKUP($N233,Veg_Parameters!$A$3:$N$65,11,FALSE)),0,(VLOOKUP($N233,Veg_Parameters!$A$3:$N$65,11,FALSE))))</f>
        <v>0</v>
      </c>
      <c r="AE233" s="524">
        <f>IF(ISBLANK(N233), 0, IF(ISNA(VLOOKUP($N233,Veg_Parameters!$A$3:$N$65,12,FALSE)),0,(VLOOKUP($N233,Veg_Parameters!$A$3:$N$65,12,FALSE))))</f>
        <v>0</v>
      </c>
      <c r="AF233" s="523">
        <f t="shared" si="327"/>
        <v>0</v>
      </c>
      <c r="AG233" s="523">
        <f t="shared" si="328"/>
        <v>0</v>
      </c>
      <c r="AH233" s="523">
        <f t="shared" si="329"/>
        <v>0</v>
      </c>
      <c r="AI233" s="526"/>
      <c r="AJ233" s="527">
        <f>AB233*(IF(ISNA(VLOOKUP($I233,Veg_Parameters!$A$3:$N$65,5,FALSE)),0,(VLOOKUP($I233,Veg_Parameters!$A$3:$N$65,5,FALSE))))</f>
        <v>0</v>
      </c>
      <c r="AK233" s="527">
        <f>IF(ISNA(VLOOKUP($I233,Veg_Parameters!$A$3:$N$65,4,FALSE)),0,(VLOOKUP($I233,Veg_Parameters!$A$3:$N$65,4,FALSE)))</f>
        <v>0</v>
      </c>
      <c r="AL233" s="527">
        <f>AB233*(IF(ISNA(VLOOKUP($I233,Veg_Parameters!$A$3:$N$65,7,FALSE)),0, (VLOOKUP($I233,Veg_Parameters!$A$3:$N$65,7,FALSE))))</f>
        <v>0</v>
      </c>
      <c r="AM233" s="528">
        <f>IF(ISNA(VLOOKUP($I233,Veg_Parameters!$A$3:$N$65,6,FALSE)), 0, (VLOOKUP($I233,Veg_Parameters!$A$3:$N$65,6,FALSE)))</f>
        <v>0</v>
      </c>
      <c r="AN233" s="529">
        <f t="shared" si="330"/>
        <v>20</v>
      </c>
      <c r="AO233" s="529">
        <f t="shared" si="331"/>
        <v>0</v>
      </c>
      <c r="AP233" s="529">
        <f t="shared" si="332"/>
        <v>0</v>
      </c>
      <c r="AQ233" s="530">
        <f t="shared" si="348"/>
        <v>0</v>
      </c>
      <c r="AR233" s="527" t="s">
        <v>3</v>
      </c>
      <c r="AS233" s="527">
        <f>IF(ISNA(VLOOKUP($I233,Veg_Parameters!$A$3:$N$65,8,FALSE)), 0, (VLOOKUP($I233,Veg_Parameters!$A$3:$N$65,8,FALSE)))</f>
        <v>0</v>
      </c>
      <c r="AT233" s="527">
        <f>AB233*(IF(ISNA(VLOOKUP($I233,Veg_Parameters!$A$3:$N$65,9,FALSE)), 0, (VLOOKUP($I233,Veg_Parameters!$A$3:$N$65,9,FALSE))))</f>
        <v>0</v>
      </c>
      <c r="AU233" s="527">
        <f>IF(ISBLANK(A233),0,VLOOKUP($I233,Veg_Parameters!$A$4:$U$65,21,))</f>
        <v>0</v>
      </c>
      <c r="AV233" s="527">
        <f t="shared" si="349"/>
        <v>0</v>
      </c>
      <c r="AW233" s="529">
        <f t="shared" si="350"/>
        <v>0</v>
      </c>
      <c r="AX233" s="529">
        <f t="shared" si="351"/>
        <v>0</v>
      </c>
      <c r="AY233" s="529">
        <f t="shared" si="333"/>
        <v>0</v>
      </c>
      <c r="AZ233" s="529">
        <f t="shared" si="352"/>
        <v>0</v>
      </c>
      <c r="BA233" s="529">
        <f t="shared" si="353"/>
        <v>0</v>
      </c>
      <c r="BB233" s="529">
        <f t="shared" si="354"/>
        <v>0</v>
      </c>
      <c r="BC233" s="529">
        <f t="shared" si="334"/>
        <v>0</v>
      </c>
      <c r="BD233" s="531"/>
      <c r="BE233" s="527">
        <f>AH233*(IF(ISNA(VLOOKUP($N233,Veg_Parameters!$A$3:$N$65,5,FALSE)),0,(VLOOKUP($N233,Veg_Parameters!$A$3:$N$65,5,FALSE))))</f>
        <v>0</v>
      </c>
      <c r="BF233" s="527">
        <f>IF(ISNA(VLOOKUP($N233,Veg_Parameters!$A$3:$N$65,4,FALSE)),0,(VLOOKUP($N233,Veg_Parameters!$A$3:$N$65,4,FALSE)))</f>
        <v>0</v>
      </c>
      <c r="BG233" s="527">
        <f>AH233*(IF(ISNA(VLOOKUP($N233,Veg_Parameters!$A$3:$N$65,7,FALSE)),0, (VLOOKUP($N233,Veg_Parameters!$A$3:$N$65,7,FALSE))))</f>
        <v>0</v>
      </c>
      <c r="BH233" s="527">
        <f>IF(ISNA(VLOOKUP($N233,Veg_Parameters!$A$3:$N$65,6,FALSE)), 0, (VLOOKUP($N233,Veg_Parameters!$A$3:$N$65,6,FALSE)))</f>
        <v>0</v>
      </c>
      <c r="BI233" s="529">
        <f t="shared" si="335"/>
        <v>20</v>
      </c>
      <c r="BJ233" s="529">
        <f t="shared" si="355"/>
        <v>0</v>
      </c>
      <c r="BK233" s="529">
        <f t="shared" si="336"/>
        <v>0</v>
      </c>
      <c r="BL233" s="530">
        <f t="shared" si="356"/>
        <v>0</v>
      </c>
      <c r="BM233" s="527" t="s">
        <v>3</v>
      </c>
      <c r="BN233" s="527">
        <f>IF(ISNA(VLOOKUP(N233,Veg_Parameters!$A$3:$N$65,8,FALSE)), 0, (VLOOKUP($N233,Veg_Parameters!$A$3:$N$65,8,FALSE)))</f>
        <v>0</v>
      </c>
      <c r="BO233" s="527">
        <f>AH233*(IF(ISNA(VLOOKUP($N233,Veg_Parameters!$A$3:$N$65,9,FALSE)), 0, (VLOOKUP($N233,Veg_Parameters!$A$3:$N$65,9,FALSE))))</f>
        <v>0</v>
      </c>
      <c r="BP233" s="527" t="str">
        <f>IF(ISBLANK(N233),"0",VLOOKUP($N233,Veg_Parameters!$A$4:$U$65,21,))</f>
        <v>0</v>
      </c>
      <c r="BQ233" s="529">
        <f t="shared" si="357"/>
        <v>0</v>
      </c>
      <c r="BR233" s="529">
        <f t="shared" si="358"/>
        <v>0</v>
      </c>
      <c r="BS233" s="529">
        <f t="shared" si="337"/>
        <v>0</v>
      </c>
      <c r="BT233" s="529">
        <f t="shared" si="359"/>
        <v>0</v>
      </c>
      <c r="BU233" s="529">
        <f t="shared" si="360"/>
        <v>0</v>
      </c>
      <c r="BV233" s="529">
        <f t="shared" si="361"/>
        <v>0</v>
      </c>
      <c r="BW233" s="532" t="str">
        <f t="shared" si="338"/>
        <v/>
      </c>
      <c r="BX233" s="532" t="str">
        <f t="shared" si="339"/>
        <v/>
      </c>
      <c r="BY233" s="532" t="str">
        <f t="shared" si="340"/>
        <v/>
      </c>
      <c r="BZ233" s="532" t="str">
        <f t="shared" si="341"/>
        <v/>
      </c>
      <c r="CA233" s="532">
        <f t="shared" si="342"/>
        <v>0</v>
      </c>
      <c r="CB233" s="533"/>
      <c r="CC233" s="624">
        <f t="shared" si="343"/>
        <v>0</v>
      </c>
      <c r="CD233" s="534">
        <f t="shared" si="344"/>
        <v>0</v>
      </c>
      <c r="CE233" s="534">
        <f t="shared" si="345"/>
        <v>0</v>
      </c>
      <c r="CF233" s="534">
        <f t="shared" si="346"/>
        <v>0</v>
      </c>
      <c r="CG233" s="534"/>
      <c r="CH233" s="534"/>
      <c r="CI233" s="534">
        <f t="shared" si="362"/>
        <v>0</v>
      </c>
      <c r="CL233" s="534">
        <f>IF(ISNA(VLOOKUP(I233,Veg_Parameters!$A$3:$N$65,13,FALSE)),0,(VLOOKUP(I233,Veg_Parameters!$A$3:$N$65,13,FALSE)))</f>
        <v>0</v>
      </c>
      <c r="CM233" s="534">
        <f t="shared" si="363"/>
        <v>0</v>
      </c>
      <c r="CN233" s="534">
        <f>IF(ISNA(VLOOKUP(N233,Veg_Parameters!$A$3:$N$65,13,FALSE)),0,(VLOOKUP(N233,Veg_Parameters!$A$3:$N$65,13,FALSE)))</f>
        <v>0</v>
      </c>
      <c r="CO233" s="523">
        <f t="shared" si="364"/>
        <v>0</v>
      </c>
    </row>
    <row r="234" spans="1:93" x14ac:dyDescent="0.2">
      <c r="A234" s="227"/>
      <c r="B234" s="171" t="str">
        <f t="shared" si="365"/>
        <v/>
      </c>
      <c r="C234" s="292" t="s">
        <v>27</v>
      </c>
      <c r="D234" s="234"/>
      <c r="E234" s="165"/>
      <c r="F234" s="165"/>
      <c r="G234" s="165"/>
      <c r="H234" s="165"/>
      <c r="I234" s="168"/>
      <c r="J234" s="167"/>
      <c r="K234" s="168"/>
      <c r="L234" s="167"/>
      <c r="M234" s="167"/>
      <c r="N234" s="168"/>
      <c r="O234" s="168"/>
      <c r="P234" s="167"/>
      <c r="Q234" s="167"/>
      <c r="R234" s="167"/>
      <c r="S234" s="222" t="str">
        <f>IF(ISBLANK(A234),"",IF(ISNA(VLOOKUP(I234,Veg_Parameters!$A$3:$N$65,3,FALSE)),0,(VLOOKUP(I234,Veg_Parameters!$A$3:$N$65,3,FALSE))))</f>
        <v/>
      </c>
      <c r="T234" s="222" t="str">
        <f>IF(ISBLANK(N234),"",IF(ISNA(VLOOKUP(N234,Veg_Parameters!$A$3:$N$65,3,FALSE)),0,(VLOOKUP(N234,Veg_Parameters!$A$3:$N$65,3,FALSE))))</f>
        <v/>
      </c>
      <c r="U234" s="523">
        <f t="shared" si="347"/>
        <v>0</v>
      </c>
      <c r="V234" s="523">
        <f t="shared" si="323"/>
        <v>0</v>
      </c>
      <c r="W234" s="524">
        <f>IF(ISBLANK(A234),0,IF(ISNA(VLOOKUP($I234,Veg_Parameters!$A$3:$N$65,10,FALSE)),0,(VLOOKUP($I234,Veg_Parameters!$A$3:$N$65,10,FALSE))))</f>
        <v>0</v>
      </c>
      <c r="X234" s="524">
        <f>IF(ISBLANK(A234),0,IF(ISNA(VLOOKUP($I234,Veg_Parameters!$A$3:$N$65,11,FALSE)),0,(VLOOKUP($I234,Veg_Parameters!$A$3:$N$65,11,FALSE))))</f>
        <v>0</v>
      </c>
      <c r="Y234" s="524">
        <f>IF(ISBLANK(A234),0,IF(ISNA(VLOOKUP($I234,Veg_Parameters!$A$3:$N$65,12,FALSE)),0,(VLOOKUP($I234,Veg_Parameters!$A$3:$N$65,12,FALSE))))</f>
        <v>0</v>
      </c>
      <c r="Z234" s="525">
        <f t="shared" si="324"/>
        <v>0</v>
      </c>
      <c r="AA234" s="525">
        <f t="shared" si="325"/>
        <v>0</v>
      </c>
      <c r="AB234" s="525">
        <f t="shared" si="326"/>
        <v>0</v>
      </c>
      <c r="AC234" s="524">
        <f>IF(ISBLANK(N234),0,IF(ISNA(VLOOKUP($N234,Veg_Parameters!$A$3:$N$65,10,FALSE)),0,(VLOOKUP($N234,Veg_Parameters!$A$3:$N$65,10,FALSE))))</f>
        <v>0</v>
      </c>
      <c r="AD234" s="524">
        <f>IF(ISBLANK(N234),0,IF(ISNA(VLOOKUP($N234,Veg_Parameters!$A$3:$N$65,11,FALSE)),0,(VLOOKUP($N234,Veg_Parameters!$A$3:$N$65,11,FALSE))))</f>
        <v>0</v>
      </c>
      <c r="AE234" s="524">
        <f>IF(ISBLANK(N234), 0, IF(ISNA(VLOOKUP($N234,Veg_Parameters!$A$3:$N$65,12,FALSE)),0,(VLOOKUP($N234,Veg_Parameters!$A$3:$N$65,12,FALSE))))</f>
        <v>0</v>
      </c>
      <c r="AF234" s="523">
        <f t="shared" si="327"/>
        <v>0</v>
      </c>
      <c r="AG234" s="523">
        <f t="shared" si="328"/>
        <v>0</v>
      </c>
      <c r="AH234" s="523">
        <f t="shared" si="329"/>
        <v>0</v>
      </c>
      <c r="AI234" s="526"/>
      <c r="AJ234" s="527">
        <f>AB234*(IF(ISNA(VLOOKUP($I234,Veg_Parameters!$A$3:$N$65,5,FALSE)),0,(VLOOKUP($I234,Veg_Parameters!$A$3:$N$65,5,FALSE))))</f>
        <v>0</v>
      </c>
      <c r="AK234" s="527">
        <f>IF(ISNA(VLOOKUP($I234,Veg_Parameters!$A$3:$N$65,4,FALSE)),0,(VLOOKUP($I234,Veg_Parameters!$A$3:$N$65,4,FALSE)))</f>
        <v>0</v>
      </c>
      <c r="AL234" s="527">
        <f>AB234*(IF(ISNA(VLOOKUP($I234,Veg_Parameters!$A$3:$N$65,7,FALSE)),0, (VLOOKUP($I234,Veg_Parameters!$A$3:$N$65,7,FALSE))))</f>
        <v>0</v>
      </c>
      <c r="AM234" s="528">
        <f>IF(ISNA(VLOOKUP($I234,Veg_Parameters!$A$3:$N$65,6,FALSE)), 0, (VLOOKUP($I234,Veg_Parameters!$A$3:$N$65,6,FALSE)))</f>
        <v>0</v>
      </c>
      <c r="AN234" s="529">
        <f t="shared" si="330"/>
        <v>20</v>
      </c>
      <c r="AO234" s="529">
        <f t="shared" si="331"/>
        <v>0</v>
      </c>
      <c r="AP234" s="529">
        <f t="shared" si="332"/>
        <v>0</v>
      </c>
      <c r="AQ234" s="530">
        <f t="shared" si="348"/>
        <v>0</v>
      </c>
      <c r="AR234" s="527" t="s">
        <v>3</v>
      </c>
      <c r="AS234" s="527">
        <f>IF(ISNA(VLOOKUP($I234,Veg_Parameters!$A$3:$N$65,8,FALSE)), 0, (VLOOKUP($I234,Veg_Parameters!$A$3:$N$65,8,FALSE)))</f>
        <v>0</v>
      </c>
      <c r="AT234" s="527">
        <f>AB234*(IF(ISNA(VLOOKUP($I234,Veg_Parameters!$A$3:$N$65,9,FALSE)), 0, (VLOOKUP($I234,Veg_Parameters!$A$3:$N$65,9,FALSE))))</f>
        <v>0</v>
      </c>
      <c r="AU234" s="527">
        <f>IF(ISBLANK(A234),0,VLOOKUP($I234,Veg_Parameters!$A$4:$U$65,21,))</f>
        <v>0</v>
      </c>
      <c r="AV234" s="527">
        <f t="shared" si="349"/>
        <v>0</v>
      </c>
      <c r="AW234" s="529">
        <f t="shared" si="350"/>
        <v>0</v>
      </c>
      <c r="AX234" s="529">
        <f t="shared" si="351"/>
        <v>0</v>
      </c>
      <c r="AY234" s="529">
        <f t="shared" si="333"/>
        <v>0</v>
      </c>
      <c r="AZ234" s="529">
        <f t="shared" si="352"/>
        <v>0</v>
      </c>
      <c r="BA234" s="529">
        <f t="shared" si="353"/>
        <v>0</v>
      </c>
      <c r="BB234" s="529">
        <f t="shared" si="354"/>
        <v>0</v>
      </c>
      <c r="BC234" s="529">
        <f t="shared" si="334"/>
        <v>0</v>
      </c>
      <c r="BD234" s="531"/>
      <c r="BE234" s="527">
        <f>AH234*(IF(ISNA(VLOOKUP($N234,Veg_Parameters!$A$3:$N$65,5,FALSE)),0,(VLOOKUP($N234,Veg_Parameters!$A$3:$N$65,5,FALSE))))</f>
        <v>0</v>
      </c>
      <c r="BF234" s="527">
        <f>IF(ISNA(VLOOKUP($N234,Veg_Parameters!$A$3:$N$65,4,FALSE)),0,(VLOOKUP($N234,Veg_Parameters!$A$3:$N$65,4,FALSE)))</f>
        <v>0</v>
      </c>
      <c r="BG234" s="527">
        <f>AH234*(IF(ISNA(VLOOKUP($N234,Veg_Parameters!$A$3:$N$65,7,FALSE)),0, (VLOOKUP($N234,Veg_Parameters!$A$3:$N$65,7,FALSE))))</f>
        <v>0</v>
      </c>
      <c r="BH234" s="527">
        <f>IF(ISNA(VLOOKUP($N234,Veg_Parameters!$A$3:$N$65,6,FALSE)), 0, (VLOOKUP($N234,Veg_Parameters!$A$3:$N$65,6,FALSE)))</f>
        <v>0</v>
      </c>
      <c r="BI234" s="529">
        <f t="shared" si="335"/>
        <v>20</v>
      </c>
      <c r="BJ234" s="529">
        <f t="shared" si="355"/>
        <v>0</v>
      </c>
      <c r="BK234" s="529">
        <f t="shared" si="336"/>
        <v>0</v>
      </c>
      <c r="BL234" s="530">
        <f t="shared" si="356"/>
        <v>0</v>
      </c>
      <c r="BM234" s="527" t="s">
        <v>3</v>
      </c>
      <c r="BN234" s="527">
        <f>IF(ISNA(VLOOKUP(N234,Veg_Parameters!$A$3:$N$65,8,FALSE)), 0, (VLOOKUP($N234,Veg_Parameters!$A$3:$N$65,8,FALSE)))</f>
        <v>0</v>
      </c>
      <c r="BO234" s="527">
        <f>AH234*(IF(ISNA(VLOOKUP($N234,Veg_Parameters!$A$3:$N$65,9,FALSE)), 0, (VLOOKUP($N234,Veg_Parameters!$A$3:$N$65,9,FALSE))))</f>
        <v>0</v>
      </c>
      <c r="BP234" s="527" t="str">
        <f>IF(ISBLANK(N234),"0",VLOOKUP($N234,Veg_Parameters!$A$4:$U$65,21,))</f>
        <v>0</v>
      </c>
      <c r="BQ234" s="529">
        <f t="shared" si="357"/>
        <v>0</v>
      </c>
      <c r="BR234" s="529">
        <f t="shared" si="358"/>
        <v>0</v>
      </c>
      <c r="BS234" s="529">
        <f t="shared" si="337"/>
        <v>0</v>
      </c>
      <c r="BT234" s="529">
        <f t="shared" si="359"/>
        <v>0</v>
      </c>
      <c r="BU234" s="529">
        <f t="shared" si="360"/>
        <v>0</v>
      </c>
      <c r="BV234" s="529">
        <f t="shared" si="361"/>
        <v>0</v>
      </c>
      <c r="BW234" s="532" t="str">
        <f t="shared" si="338"/>
        <v/>
      </c>
      <c r="BX234" s="532" t="str">
        <f t="shared" si="339"/>
        <v/>
      </c>
      <c r="BY234" s="532" t="str">
        <f t="shared" si="340"/>
        <v/>
      </c>
      <c r="BZ234" s="532" t="str">
        <f t="shared" si="341"/>
        <v/>
      </c>
      <c r="CA234" s="532">
        <f t="shared" si="342"/>
        <v>0</v>
      </c>
      <c r="CB234" s="533"/>
      <c r="CC234" s="624">
        <f t="shared" si="343"/>
        <v>0</v>
      </c>
      <c r="CD234" s="534">
        <f t="shared" si="344"/>
        <v>0</v>
      </c>
      <c r="CE234" s="534">
        <f t="shared" si="345"/>
        <v>0</v>
      </c>
      <c r="CF234" s="534">
        <f t="shared" si="346"/>
        <v>0</v>
      </c>
      <c r="CG234" s="534"/>
      <c r="CH234" s="534"/>
      <c r="CI234" s="534">
        <f t="shared" si="362"/>
        <v>0</v>
      </c>
      <c r="CL234" s="534">
        <f>IF(ISNA(VLOOKUP(I234,Veg_Parameters!$A$3:$N$65,13,FALSE)),0,(VLOOKUP(I234,Veg_Parameters!$A$3:$N$65,13,FALSE)))</f>
        <v>0</v>
      </c>
      <c r="CM234" s="534">
        <f t="shared" si="363"/>
        <v>0</v>
      </c>
      <c r="CN234" s="534">
        <f>IF(ISNA(VLOOKUP(N234,Veg_Parameters!$A$3:$N$65,13,FALSE)),0,(VLOOKUP(N234,Veg_Parameters!$A$3:$N$65,13,FALSE)))</f>
        <v>0</v>
      </c>
      <c r="CO234" s="523">
        <f t="shared" si="364"/>
        <v>0</v>
      </c>
    </row>
    <row r="235" spans="1:93" x14ac:dyDescent="0.2">
      <c r="A235" s="227"/>
      <c r="B235" s="171" t="str">
        <f t="shared" si="365"/>
        <v/>
      </c>
      <c r="C235" s="230"/>
      <c r="D235" s="169"/>
      <c r="E235" s="165"/>
      <c r="F235" s="165"/>
      <c r="G235" s="165"/>
      <c r="H235" s="165"/>
      <c r="I235" s="168"/>
      <c r="J235" s="167"/>
      <c r="K235" s="168"/>
      <c r="L235" s="167"/>
      <c r="M235" s="167"/>
      <c r="N235" s="168"/>
      <c r="O235" s="168"/>
      <c r="P235" s="167"/>
      <c r="Q235" s="167"/>
      <c r="R235" s="167"/>
      <c r="S235" s="222" t="str">
        <f>IF(ISBLANK(A235),"",IF(ISNA(VLOOKUP(I235,Veg_Parameters!$A$3:$N$65,3,FALSE)),0,(VLOOKUP(I235,Veg_Parameters!$A$3:$N$65,3,FALSE))))</f>
        <v/>
      </c>
      <c r="T235" s="222" t="str">
        <f>IF(ISBLANK(N235),"",IF(ISNA(VLOOKUP(N235,Veg_Parameters!$A$3:$N$65,3,FALSE)),0,(VLOOKUP(N235,Veg_Parameters!$A$3:$N$65,3,FALSE))))</f>
        <v/>
      </c>
      <c r="U235" s="523">
        <f t="shared" si="347"/>
        <v>0</v>
      </c>
      <c r="V235" s="523">
        <f t="shared" si="323"/>
        <v>0</v>
      </c>
      <c r="W235" s="524">
        <f>IF(ISBLANK(A235),0,IF(ISNA(VLOOKUP($I235,Veg_Parameters!$A$3:$N$65,10,FALSE)),0,(VLOOKUP($I235,Veg_Parameters!$A$3:$N$65,10,FALSE))))</f>
        <v>0</v>
      </c>
      <c r="X235" s="524">
        <f>IF(ISBLANK(A235),0,IF(ISNA(VLOOKUP($I235,Veg_Parameters!$A$3:$N$65,11,FALSE)),0,(VLOOKUP($I235,Veg_Parameters!$A$3:$N$65,11,FALSE))))</f>
        <v>0</v>
      </c>
      <c r="Y235" s="524">
        <f>IF(ISBLANK(A235),0,IF(ISNA(VLOOKUP($I235,Veg_Parameters!$A$3:$N$65,12,FALSE)),0,(VLOOKUP($I235,Veg_Parameters!$A$3:$N$65,12,FALSE))))</f>
        <v>0</v>
      </c>
      <c r="Z235" s="525">
        <f t="shared" si="324"/>
        <v>0</v>
      </c>
      <c r="AA235" s="525">
        <f t="shared" si="325"/>
        <v>0</v>
      </c>
      <c r="AB235" s="525">
        <f t="shared" si="326"/>
        <v>0</v>
      </c>
      <c r="AC235" s="524">
        <f>IF(ISBLANK(N235),0,IF(ISNA(VLOOKUP($N235,Veg_Parameters!$A$3:$N$65,10,FALSE)),0,(VLOOKUP($N235,Veg_Parameters!$A$3:$N$65,10,FALSE))))</f>
        <v>0</v>
      </c>
      <c r="AD235" s="524">
        <f>IF(ISBLANK(N235),0,IF(ISNA(VLOOKUP($N235,Veg_Parameters!$A$3:$N$65,11,FALSE)),0,(VLOOKUP($N235,Veg_Parameters!$A$3:$N$65,11,FALSE))))</f>
        <v>0</v>
      </c>
      <c r="AE235" s="524">
        <f>IF(ISBLANK(N235), 0, IF(ISNA(VLOOKUP($N235,Veg_Parameters!$A$3:$N$65,12,FALSE)),0,(VLOOKUP($N235,Veg_Parameters!$A$3:$N$65,12,FALSE))))</f>
        <v>0</v>
      </c>
      <c r="AF235" s="523">
        <f t="shared" si="327"/>
        <v>0</v>
      </c>
      <c r="AG235" s="523">
        <f t="shared" si="328"/>
        <v>0</v>
      </c>
      <c r="AH235" s="523">
        <f t="shared" si="329"/>
        <v>0</v>
      </c>
      <c r="AI235" s="526"/>
      <c r="AJ235" s="527">
        <f>AB235*(IF(ISNA(VLOOKUP($I235,Veg_Parameters!$A$3:$N$65,5,FALSE)),0,(VLOOKUP($I235,Veg_Parameters!$A$3:$N$65,5,FALSE))))</f>
        <v>0</v>
      </c>
      <c r="AK235" s="527">
        <f>IF(ISNA(VLOOKUP($I235,Veg_Parameters!$A$3:$N$65,4,FALSE)),0,(VLOOKUP($I235,Veg_Parameters!$A$3:$N$65,4,FALSE)))</f>
        <v>0</v>
      </c>
      <c r="AL235" s="527">
        <f>AB235*(IF(ISNA(VLOOKUP($I235,Veg_Parameters!$A$3:$N$65,7,FALSE)),0, (VLOOKUP($I235,Veg_Parameters!$A$3:$N$65,7,FALSE))))</f>
        <v>0</v>
      </c>
      <c r="AM235" s="528">
        <f>IF(ISNA(VLOOKUP($I235,Veg_Parameters!$A$3:$N$65,6,FALSE)), 0, (VLOOKUP($I235,Veg_Parameters!$A$3:$N$65,6,FALSE)))</f>
        <v>0</v>
      </c>
      <c r="AN235" s="529">
        <f t="shared" si="330"/>
        <v>20</v>
      </c>
      <c r="AO235" s="529">
        <f t="shared" si="331"/>
        <v>0</v>
      </c>
      <c r="AP235" s="529">
        <f t="shared" si="332"/>
        <v>0</v>
      </c>
      <c r="AQ235" s="530">
        <f t="shared" si="348"/>
        <v>0</v>
      </c>
      <c r="AR235" s="527" t="s">
        <v>3</v>
      </c>
      <c r="AS235" s="527">
        <f>IF(ISNA(VLOOKUP($I235,Veg_Parameters!$A$3:$N$65,8,FALSE)), 0, (VLOOKUP($I235,Veg_Parameters!$A$3:$N$65,8,FALSE)))</f>
        <v>0</v>
      </c>
      <c r="AT235" s="527">
        <f>AB235*(IF(ISNA(VLOOKUP($I235,Veg_Parameters!$A$3:$N$65,9,FALSE)), 0, (VLOOKUP($I235,Veg_Parameters!$A$3:$N$65,9,FALSE))))</f>
        <v>0</v>
      </c>
      <c r="AU235" s="527">
        <f>IF(ISBLANK(A235),0,VLOOKUP($I235,Veg_Parameters!$A$4:$U$65,21,))</f>
        <v>0</v>
      </c>
      <c r="AV235" s="527">
        <f t="shared" si="349"/>
        <v>0</v>
      </c>
      <c r="AW235" s="529">
        <f t="shared" si="350"/>
        <v>0</v>
      </c>
      <c r="AX235" s="529">
        <f t="shared" si="351"/>
        <v>0</v>
      </c>
      <c r="AY235" s="529">
        <f t="shared" si="333"/>
        <v>0</v>
      </c>
      <c r="AZ235" s="529">
        <f t="shared" si="352"/>
        <v>0</v>
      </c>
      <c r="BA235" s="529">
        <f t="shared" si="353"/>
        <v>0</v>
      </c>
      <c r="BB235" s="529">
        <f t="shared" si="354"/>
        <v>0</v>
      </c>
      <c r="BC235" s="529">
        <f t="shared" si="334"/>
        <v>0</v>
      </c>
      <c r="BD235" s="531"/>
      <c r="BE235" s="527">
        <f>AH235*(IF(ISNA(VLOOKUP($N235,Veg_Parameters!$A$3:$N$65,5,FALSE)),0,(VLOOKUP($N235,Veg_Parameters!$A$3:$N$65,5,FALSE))))</f>
        <v>0</v>
      </c>
      <c r="BF235" s="527">
        <f>IF(ISNA(VLOOKUP($N235,Veg_Parameters!$A$3:$N$65,4,FALSE)),0,(VLOOKUP($N235,Veg_Parameters!$A$3:$N$65,4,FALSE)))</f>
        <v>0</v>
      </c>
      <c r="BG235" s="527">
        <f>AH235*(IF(ISNA(VLOOKUP($N235,Veg_Parameters!$A$3:$N$65,7,FALSE)),0, (VLOOKUP($N235,Veg_Parameters!$A$3:$N$65,7,FALSE))))</f>
        <v>0</v>
      </c>
      <c r="BH235" s="527">
        <f>IF(ISNA(VLOOKUP($N235,Veg_Parameters!$A$3:$N$65,6,FALSE)), 0, (VLOOKUP($N235,Veg_Parameters!$A$3:$N$65,6,FALSE)))</f>
        <v>0</v>
      </c>
      <c r="BI235" s="529">
        <f t="shared" si="335"/>
        <v>20</v>
      </c>
      <c r="BJ235" s="529">
        <f t="shared" si="355"/>
        <v>0</v>
      </c>
      <c r="BK235" s="529">
        <f t="shared" si="336"/>
        <v>0</v>
      </c>
      <c r="BL235" s="530">
        <f t="shared" si="356"/>
        <v>0</v>
      </c>
      <c r="BM235" s="527" t="s">
        <v>3</v>
      </c>
      <c r="BN235" s="527">
        <f>IF(ISNA(VLOOKUP(N235,Veg_Parameters!$A$3:$N$65,8,FALSE)), 0, (VLOOKUP($N235,Veg_Parameters!$A$3:$N$65,8,FALSE)))</f>
        <v>0</v>
      </c>
      <c r="BO235" s="527">
        <f>AH235*(IF(ISNA(VLOOKUP($N235,Veg_Parameters!$A$3:$N$65,9,FALSE)), 0, (VLOOKUP($N235,Veg_Parameters!$A$3:$N$65,9,FALSE))))</f>
        <v>0</v>
      </c>
      <c r="BP235" s="527" t="str">
        <f>IF(ISBLANK(N235),"0",VLOOKUP($N235,Veg_Parameters!$A$4:$U$65,21,))</f>
        <v>0</v>
      </c>
      <c r="BQ235" s="529">
        <f t="shared" si="357"/>
        <v>0</v>
      </c>
      <c r="BR235" s="529">
        <f t="shared" si="358"/>
        <v>0</v>
      </c>
      <c r="BS235" s="529">
        <f t="shared" si="337"/>
        <v>0</v>
      </c>
      <c r="BT235" s="529">
        <f t="shared" si="359"/>
        <v>0</v>
      </c>
      <c r="BU235" s="529">
        <f t="shared" si="360"/>
        <v>0</v>
      </c>
      <c r="BV235" s="529">
        <f t="shared" si="361"/>
        <v>0</v>
      </c>
      <c r="BW235" s="532" t="str">
        <f t="shared" si="338"/>
        <v/>
      </c>
      <c r="BX235" s="532" t="str">
        <f t="shared" si="339"/>
        <v/>
      </c>
      <c r="BY235" s="532" t="str">
        <f t="shared" si="340"/>
        <v/>
      </c>
      <c r="BZ235" s="532" t="str">
        <f t="shared" si="341"/>
        <v/>
      </c>
      <c r="CA235" s="532">
        <f t="shared" si="342"/>
        <v>0</v>
      </c>
      <c r="CB235" s="533"/>
      <c r="CC235" s="624">
        <f t="shared" si="343"/>
        <v>0</v>
      </c>
      <c r="CD235" s="534">
        <f t="shared" si="344"/>
        <v>0</v>
      </c>
      <c r="CE235" s="534">
        <f t="shared" si="345"/>
        <v>0</v>
      </c>
      <c r="CF235" s="534">
        <f t="shared" si="346"/>
        <v>0</v>
      </c>
      <c r="CG235" s="534"/>
      <c r="CH235" s="534"/>
      <c r="CI235" s="534">
        <f t="shared" si="362"/>
        <v>0</v>
      </c>
      <c r="CL235" s="534">
        <f>IF(ISNA(VLOOKUP(I235,Veg_Parameters!$A$3:$N$65,13,FALSE)),0,(VLOOKUP(I235,Veg_Parameters!$A$3:$N$65,13,FALSE)))</f>
        <v>0</v>
      </c>
      <c r="CM235" s="534">
        <f t="shared" si="363"/>
        <v>0</v>
      </c>
      <c r="CN235" s="534">
        <f>IF(ISNA(VLOOKUP(N235,Veg_Parameters!$A$3:$N$65,13,FALSE)),0,(VLOOKUP(N235,Veg_Parameters!$A$3:$N$65,13,FALSE)))</f>
        <v>0</v>
      </c>
      <c r="CO235" s="523">
        <f t="shared" si="364"/>
        <v>0</v>
      </c>
    </row>
    <row r="236" spans="1:93" x14ac:dyDescent="0.2">
      <c r="A236" s="227"/>
      <c r="B236" s="171" t="str">
        <f t="shared" si="365"/>
        <v/>
      </c>
      <c r="C236" s="230"/>
      <c r="D236" s="169"/>
      <c r="E236" s="165"/>
      <c r="F236" s="165"/>
      <c r="G236" s="165"/>
      <c r="H236" s="165"/>
      <c r="I236" s="168"/>
      <c r="J236" s="167"/>
      <c r="K236" s="168"/>
      <c r="L236" s="167"/>
      <c r="M236" s="167"/>
      <c r="N236" s="168"/>
      <c r="O236" s="168"/>
      <c r="P236" s="167"/>
      <c r="Q236" s="167"/>
      <c r="R236" s="167"/>
      <c r="S236" s="222" t="str">
        <f>IF(ISBLANK(A236),"",IF(ISNA(VLOOKUP(I236,Veg_Parameters!$A$3:$N$65,3,FALSE)),0,(VLOOKUP(I236,Veg_Parameters!$A$3:$N$65,3,FALSE))))</f>
        <v/>
      </c>
      <c r="T236" s="222" t="str">
        <f>IF(ISBLANK(N236),"",IF(ISNA(VLOOKUP(N236,Veg_Parameters!$A$3:$N$65,3,FALSE)),0,(VLOOKUP(N236,Veg_Parameters!$A$3:$N$65,3,FALSE))))</f>
        <v/>
      </c>
      <c r="U236" s="523">
        <f t="shared" si="347"/>
        <v>0</v>
      </c>
      <c r="V236" s="523">
        <f t="shared" si="323"/>
        <v>0</v>
      </c>
      <c r="W236" s="524">
        <f>IF(ISBLANK(A236),0,IF(ISNA(VLOOKUP($I236,Veg_Parameters!$A$3:$N$65,10,FALSE)),0,(VLOOKUP($I236,Veg_Parameters!$A$3:$N$65,10,FALSE))))</f>
        <v>0</v>
      </c>
      <c r="X236" s="524">
        <f>IF(ISBLANK(A236),0,IF(ISNA(VLOOKUP($I236,Veg_Parameters!$A$3:$N$65,11,FALSE)),0,(VLOOKUP($I236,Veg_Parameters!$A$3:$N$65,11,FALSE))))</f>
        <v>0</v>
      </c>
      <c r="Y236" s="524">
        <f>IF(ISBLANK(A236),0,IF(ISNA(VLOOKUP($I236,Veg_Parameters!$A$3:$N$65,12,FALSE)),0,(VLOOKUP($I236,Veg_Parameters!$A$3:$N$65,12,FALSE))))</f>
        <v>0</v>
      </c>
      <c r="Z236" s="525">
        <f t="shared" si="324"/>
        <v>0</v>
      </c>
      <c r="AA236" s="525">
        <f t="shared" si="325"/>
        <v>0</v>
      </c>
      <c r="AB236" s="525">
        <f t="shared" si="326"/>
        <v>0</v>
      </c>
      <c r="AC236" s="524">
        <f>IF(ISBLANK(N236),0,IF(ISNA(VLOOKUP($N236,Veg_Parameters!$A$3:$N$65,10,FALSE)),0,(VLOOKUP($N236,Veg_Parameters!$A$3:$N$65,10,FALSE))))</f>
        <v>0</v>
      </c>
      <c r="AD236" s="524">
        <f>IF(ISBLANK(N236),0,IF(ISNA(VLOOKUP($N236,Veg_Parameters!$A$3:$N$65,11,FALSE)),0,(VLOOKUP($N236,Veg_Parameters!$A$3:$N$65,11,FALSE))))</f>
        <v>0</v>
      </c>
      <c r="AE236" s="524">
        <f>IF(ISBLANK(N236), 0, IF(ISNA(VLOOKUP($N236,Veg_Parameters!$A$3:$N$65,12,FALSE)),0,(VLOOKUP($N236,Veg_Parameters!$A$3:$N$65,12,FALSE))))</f>
        <v>0</v>
      </c>
      <c r="AF236" s="523">
        <f t="shared" si="327"/>
        <v>0</v>
      </c>
      <c r="AG236" s="523">
        <f t="shared" si="328"/>
        <v>0</v>
      </c>
      <c r="AH236" s="523">
        <f t="shared" si="329"/>
        <v>0</v>
      </c>
      <c r="AI236" s="526"/>
      <c r="AJ236" s="527">
        <f>AB236*(IF(ISNA(VLOOKUP($I236,Veg_Parameters!$A$3:$N$65,5,FALSE)),0,(VLOOKUP($I236,Veg_Parameters!$A$3:$N$65,5,FALSE))))</f>
        <v>0</v>
      </c>
      <c r="AK236" s="527">
        <f>IF(ISNA(VLOOKUP($I236,Veg_Parameters!$A$3:$N$65,4,FALSE)),0,(VLOOKUP($I236,Veg_Parameters!$A$3:$N$65,4,FALSE)))</f>
        <v>0</v>
      </c>
      <c r="AL236" s="527">
        <f>AB236*(IF(ISNA(VLOOKUP($I236,Veg_Parameters!$A$3:$N$65,7,FALSE)),0, (VLOOKUP($I236,Veg_Parameters!$A$3:$N$65,7,FALSE))))</f>
        <v>0</v>
      </c>
      <c r="AM236" s="528">
        <f>IF(ISNA(VLOOKUP($I236,Veg_Parameters!$A$3:$N$65,6,FALSE)), 0, (VLOOKUP($I236,Veg_Parameters!$A$3:$N$65,6,FALSE)))</f>
        <v>0</v>
      </c>
      <c r="AN236" s="529">
        <f t="shared" si="330"/>
        <v>20</v>
      </c>
      <c r="AO236" s="529">
        <f t="shared" si="331"/>
        <v>0</v>
      </c>
      <c r="AP236" s="529">
        <f t="shared" si="332"/>
        <v>0</v>
      </c>
      <c r="AQ236" s="530">
        <f t="shared" si="348"/>
        <v>0</v>
      </c>
      <c r="AR236" s="527" t="s">
        <v>3</v>
      </c>
      <c r="AS236" s="527">
        <f>IF(ISNA(VLOOKUP($I236,Veg_Parameters!$A$3:$N$65,8,FALSE)), 0, (VLOOKUP($I236,Veg_Parameters!$A$3:$N$65,8,FALSE)))</f>
        <v>0</v>
      </c>
      <c r="AT236" s="527">
        <f>AB236*(IF(ISNA(VLOOKUP($I236,Veg_Parameters!$A$3:$N$65,9,FALSE)), 0, (VLOOKUP($I236,Veg_Parameters!$A$3:$N$65,9,FALSE))))</f>
        <v>0</v>
      </c>
      <c r="AU236" s="527">
        <f>IF(ISBLANK(A236),0,VLOOKUP($I236,Veg_Parameters!$A$4:$U$65,21,))</f>
        <v>0</v>
      </c>
      <c r="AV236" s="527">
        <f t="shared" si="349"/>
        <v>0</v>
      </c>
      <c r="AW236" s="529">
        <f t="shared" si="350"/>
        <v>0</v>
      </c>
      <c r="AX236" s="529">
        <f t="shared" si="351"/>
        <v>0</v>
      </c>
      <c r="AY236" s="529">
        <f t="shared" si="333"/>
        <v>0</v>
      </c>
      <c r="AZ236" s="529">
        <f t="shared" si="352"/>
        <v>0</v>
      </c>
      <c r="BA236" s="529">
        <f t="shared" si="353"/>
        <v>0</v>
      </c>
      <c r="BB236" s="529">
        <f t="shared" si="354"/>
        <v>0</v>
      </c>
      <c r="BC236" s="529">
        <f t="shared" si="334"/>
        <v>0</v>
      </c>
      <c r="BD236" s="531"/>
      <c r="BE236" s="527">
        <f>AH236*(IF(ISNA(VLOOKUP($N236,Veg_Parameters!$A$3:$N$65,5,FALSE)),0,(VLOOKUP($N236,Veg_Parameters!$A$3:$N$65,5,FALSE))))</f>
        <v>0</v>
      </c>
      <c r="BF236" s="527">
        <f>IF(ISNA(VLOOKUP($N236,Veg_Parameters!$A$3:$N$65,4,FALSE)),0,(VLOOKUP($N236,Veg_Parameters!$A$3:$N$65,4,FALSE)))</f>
        <v>0</v>
      </c>
      <c r="BG236" s="527">
        <f>AH236*(IF(ISNA(VLOOKUP($N236,Veg_Parameters!$A$3:$N$65,7,FALSE)),0, (VLOOKUP($N236,Veg_Parameters!$A$3:$N$65,7,FALSE))))</f>
        <v>0</v>
      </c>
      <c r="BH236" s="527">
        <f>IF(ISNA(VLOOKUP($N236,Veg_Parameters!$A$3:$N$65,6,FALSE)), 0, (VLOOKUP($N236,Veg_Parameters!$A$3:$N$65,6,FALSE)))</f>
        <v>0</v>
      </c>
      <c r="BI236" s="529">
        <f t="shared" si="335"/>
        <v>20</v>
      </c>
      <c r="BJ236" s="529">
        <f t="shared" si="355"/>
        <v>0</v>
      </c>
      <c r="BK236" s="529">
        <f t="shared" si="336"/>
        <v>0</v>
      </c>
      <c r="BL236" s="530">
        <f t="shared" si="356"/>
        <v>0</v>
      </c>
      <c r="BM236" s="527" t="s">
        <v>3</v>
      </c>
      <c r="BN236" s="527">
        <f>IF(ISNA(VLOOKUP(N236,Veg_Parameters!$A$3:$N$65,8,FALSE)), 0, (VLOOKUP($N236,Veg_Parameters!$A$3:$N$65,8,FALSE)))</f>
        <v>0</v>
      </c>
      <c r="BO236" s="527">
        <f>AH236*(IF(ISNA(VLOOKUP($N236,Veg_Parameters!$A$3:$N$65,9,FALSE)), 0, (VLOOKUP($N236,Veg_Parameters!$A$3:$N$65,9,FALSE))))</f>
        <v>0</v>
      </c>
      <c r="BP236" s="527" t="str">
        <f>IF(ISBLANK(N236),"0",VLOOKUP($N236,Veg_Parameters!$A$4:$U$65,21,))</f>
        <v>0</v>
      </c>
      <c r="BQ236" s="529">
        <f t="shared" si="357"/>
        <v>0</v>
      </c>
      <c r="BR236" s="529">
        <f t="shared" si="358"/>
        <v>0</v>
      </c>
      <c r="BS236" s="529">
        <f t="shared" si="337"/>
        <v>0</v>
      </c>
      <c r="BT236" s="529">
        <f t="shared" si="359"/>
        <v>0</v>
      </c>
      <c r="BU236" s="529">
        <f t="shared" si="360"/>
        <v>0</v>
      </c>
      <c r="BV236" s="529">
        <f t="shared" si="361"/>
        <v>0</v>
      </c>
      <c r="BW236" s="532" t="str">
        <f t="shared" si="338"/>
        <v/>
      </c>
      <c r="BX236" s="532" t="str">
        <f t="shared" si="339"/>
        <v/>
      </c>
      <c r="BY236" s="532" t="str">
        <f t="shared" si="340"/>
        <v/>
      </c>
      <c r="BZ236" s="532" t="str">
        <f t="shared" si="341"/>
        <v/>
      </c>
      <c r="CA236" s="532">
        <f t="shared" si="342"/>
        <v>0</v>
      </c>
      <c r="CB236" s="533"/>
      <c r="CC236" s="624">
        <f t="shared" si="343"/>
        <v>0</v>
      </c>
      <c r="CD236" s="534">
        <f t="shared" si="344"/>
        <v>0</v>
      </c>
      <c r="CE236" s="534">
        <f t="shared" si="345"/>
        <v>0</v>
      </c>
      <c r="CF236" s="534">
        <f t="shared" si="346"/>
        <v>0</v>
      </c>
      <c r="CG236" s="534"/>
      <c r="CH236" s="534"/>
      <c r="CI236" s="534">
        <f t="shared" si="362"/>
        <v>0</v>
      </c>
      <c r="CL236" s="534">
        <f>IF(ISNA(VLOOKUP(I236,Veg_Parameters!$A$3:$N$65,13,FALSE)),0,(VLOOKUP(I236,Veg_Parameters!$A$3:$N$65,13,FALSE)))</f>
        <v>0</v>
      </c>
      <c r="CM236" s="534">
        <f t="shared" si="363"/>
        <v>0</v>
      </c>
      <c r="CN236" s="534">
        <f>IF(ISNA(VLOOKUP(N236,Veg_Parameters!$A$3:$N$65,13,FALSE)),0,(VLOOKUP(N236,Veg_Parameters!$A$3:$N$65,13,FALSE)))</f>
        <v>0</v>
      </c>
      <c r="CO236" s="523">
        <f t="shared" si="364"/>
        <v>0</v>
      </c>
    </row>
    <row r="237" spans="1:93" x14ac:dyDescent="0.2">
      <c r="A237" s="227"/>
      <c r="B237" s="171" t="str">
        <f t="shared" si="365"/>
        <v/>
      </c>
      <c r="C237" s="230"/>
      <c r="D237" s="169"/>
      <c r="E237" s="165"/>
      <c r="F237" s="165"/>
      <c r="G237" s="165"/>
      <c r="H237" s="165"/>
      <c r="I237" s="168"/>
      <c r="J237" s="167"/>
      <c r="K237" s="168"/>
      <c r="L237" s="167"/>
      <c r="M237" s="167"/>
      <c r="N237" s="168"/>
      <c r="O237" s="168"/>
      <c r="P237" s="167"/>
      <c r="Q237" s="167"/>
      <c r="R237" s="167"/>
      <c r="S237" s="222" t="str">
        <f>IF(ISBLANK(A237),"",IF(ISNA(VLOOKUP(I237,Veg_Parameters!$A$3:$N$65,3,FALSE)),0,(VLOOKUP(I237,Veg_Parameters!$A$3:$N$65,3,FALSE))))</f>
        <v/>
      </c>
      <c r="T237" s="222" t="str">
        <f>IF(ISBLANK(N237),"",IF(ISNA(VLOOKUP(N237,Veg_Parameters!$A$3:$N$65,3,FALSE)),0,(VLOOKUP(N237,Veg_Parameters!$A$3:$N$65,3,FALSE))))</f>
        <v/>
      </c>
      <c r="U237" s="523">
        <f t="shared" si="347"/>
        <v>0</v>
      </c>
      <c r="V237" s="523">
        <f t="shared" si="323"/>
        <v>0</v>
      </c>
      <c r="W237" s="524">
        <f>IF(ISBLANK(A237),0,IF(ISNA(VLOOKUP($I237,Veg_Parameters!$A$3:$N$65,10,FALSE)),0,(VLOOKUP($I237,Veg_Parameters!$A$3:$N$65,10,FALSE))))</f>
        <v>0</v>
      </c>
      <c r="X237" s="524">
        <f>IF(ISBLANK(A237),0,IF(ISNA(VLOOKUP($I237,Veg_Parameters!$A$3:$N$65,11,FALSE)),0,(VLOOKUP($I237,Veg_Parameters!$A$3:$N$65,11,FALSE))))</f>
        <v>0</v>
      </c>
      <c r="Y237" s="524">
        <f>IF(ISBLANK(A237),0,IF(ISNA(VLOOKUP($I237,Veg_Parameters!$A$3:$N$65,12,FALSE)),0,(VLOOKUP($I237,Veg_Parameters!$A$3:$N$65,12,FALSE))))</f>
        <v>0</v>
      </c>
      <c r="Z237" s="525">
        <f t="shared" si="324"/>
        <v>0</v>
      </c>
      <c r="AA237" s="525">
        <f t="shared" si="325"/>
        <v>0</v>
      </c>
      <c r="AB237" s="525">
        <f t="shared" si="326"/>
        <v>0</v>
      </c>
      <c r="AC237" s="524">
        <f>IF(ISBLANK(N237),0,IF(ISNA(VLOOKUP($N237,Veg_Parameters!$A$3:$N$65,10,FALSE)),0,(VLOOKUP($N237,Veg_Parameters!$A$3:$N$65,10,FALSE))))</f>
        <v>0</v>
      </c>
      <c r="AD237" s="524">
        <f>IF(ISBLANK(N237),0,IF(ISNA(VLOOKUP($N237,Veg_Parameters!$A$3:$N$65,11,FALSE)),0,(VLOOKUP($N237,Veg_Parameters!$A$3:$N$65,11,FALSE))))</f>
        <v>0</v>
      </c>
      <c r="AE237" s="524">
        <f>IF(ISBLANK(N237), 0, IF(ISNA(VLOOKUP($N237,Veg_Parameters!$A$3:$N$65,12,FALSE)),0,(VLOOKUP($N237,Veg_Parameters!$A$3:$N$65,12,FALSE))))</f>
        <v>0</v>
      </c>
      <c r="AF237" s="523">
        <f t="shared" si="327"/>
        <v>0</v>
      </c>
      <c r="AG237" s="523">
        <f t="shared" si="328"/>
        <v>0</v>
      </c>
      <c r="AH237" s="523">
        <f t="shared" si="329"/>
        <v>0</v>
      </c>
      <c r="AI237" s="526"/>
      <c r="AJ237" s="527">
        <f>AB237*(IF(ISNA(VLOOKUP($I237,Veg_Parameters!$A$3:$N$65,5,FALSE)),0,(VLOOKUP($I237,Veg_Parameters!$A$3:$N$65,5,FALSE))))</f>
        <v>0</v>
      </c>
      <c r="AK237" s="527">
        <f>IF(ISNA(VLOOKUP($I237,Veg_Parameters!$A$3:$N$65,4,FALSE)),0,(VLOOKUP($I237,Veg_Parameters!$A$3:$N$65,4,FALSE)))</f>
        <v>0</v>
      </c>
      <c r="AL237" s="527">
        <f>AB237*(IF(ISNA(VLOOKUP($I237,Veg_Parameters!$A$3:$N$65,7,FALSE)),0, (VLOOKUP($I237,Veg_Parameters!$A$3:$N$65,7,FALSE))))</f>
        <v>0</v>
      </c>
      <c r="AM237" s="528">
        <f>IF(ISNA(VLOOKUP($I237,Veg_Parameters!$A$3:$N$65,6,FALSE)), 0, (VLOOKUP($I237,Veg_Parameters!$A$3:$N$65,6,FALSE)))</f>
        <v>0</v>
      </c>
      <c r="AN237" s="529">
        <f t="shared" si="330"/>
        <v>20</v>
      </c>
      <c r="AO237" s="529">
        <f t="shared" si="331"/>
        <v>0</v>
      </c>
      <c r="AP237" s="529">
        <f t="shared" si="332"/>
        <v>0</v>
      </c>
      <c r="AQ237" s="530">
        <f t="shared" si="348"/>
        <v>0</v>
      </c>
      <c r="AR237" s="527" t="s">
        <v>3</v>
      </c>
      <c r="AS237" s="527">
        <f>IF(ISNA(VLOOKUP($I237,Veg_Parameters!$A$3:$N$65,8,FALSE)), 0, (VLOOKUP($I237,Veg_Parameters!$A$3:$N$65,8,FALSE)))</f>
        <v>0</v>
      </c>
      <c r="AT237" s="527">
        <f>AB237*(IF(ISNA(VLOOKUP($I237,Veg_Parameters!$A$3:$N$65,9,FALSE)), 0, (VLOOKUP($I237,Veg_Parameters!$A$3:$N$65,9,FALSE))))</f>
        <v>0</v>
      </c>
      <c r="AU237" s="527">
        <f>IF(ISBLANK(A237),0,VLOOKUP($I237,Veg_Parameters!$A$4:$U$65,21,))</f>
        <v>0</v>
      </c>
      <c r="AV237" s="527">
        <f t="shared" si="349"/>
        <v>0</v>
      </c>
      <c r="AW237" s="529">
        <f t="shared" si="350"/>
        <v>0</v>
      </c>
      <c r="AX237" s="529">
        <f t="shared" si="351"/>
        <v>0</v>
      </c>
      <c r="AY237" s="529">
        <f t="shared" si="333"/>
        <v>0</v>
      </c>
      <c r="AZ237" s="529">
        <f t="shared" si="352"/>
        <v>0</v>
      </c>
      <c r="BA237" s="529">
        <f t="shared" si="353"/>
        <v>0</v>
      </c>
      <c r="BB237" s="529">
        <f t="shared" si="354"/>
        <v>0</v>
      </c>
      <c r="BC237" s="529">
        <f t="shared" si="334"/>
        <v>0</v>
      </c>
      <c r="BD237" s="531"/>
      <c r="BE237" s="527">
        <f>AH237*(IF(ISNA(VLOOKUP($N237,Veg_Parameters!$A$3:$N$65,5,FALSE)),0,(VLOOKUP($N237,Veg_Parameters!$A$3:$N$65,5,FALSE))))</f>
        <v>0</v>
      </c>
      <c r="BF237" s="527">
        <f>IF(ISNA(VLOOKUP($N237,Veg_Parameters!$A$3:$N$65,4,FALSE)),0,(VLOOKUP($N237,Veg_Parameters!$A$3:$N$65,4,FALSE)))</f>
        <v>0</v>
      </c>
      <c r="BG237" s="527">
        <f>AH237*(IF(ISNA(VLOOKUP($N237,Veg_Parameters!$A$3:$N$65,7,FALSE)),0, (VLOOKUP($N237,Veg_Parameters!$A$3:$N$65,7,FALSE))))</f>
        <v>0</v>
      </c>
      <c r="BH237" s="527">
        <f>IF(ISNA(VLOOKUP($N237,Veg_Parameters!$A$3:$N$65,6,FALSE)), 0, (VLOOKUP($N237,Veg_Parameters!$A$3:$N$65,6,FALSE)))</f>
        <v>0</v>
      </c>
      <c r="BI237" s="529">
        <f t="shared" si="335"/>
        <v>20</v>
      </c>
      <c r="BJ237" s="529">
        <f t="shared" si="355"/>
        <v>0</v>
      </c>
      <c r="BK237" s="529">
        <f t="shared" si="336"/>
        <v>0</v>
      </c>
      <c r="BL237" s="530">
        <f t="shared" si="356"/>
        <v>0</v>
      </c>
      <c r="BM237" s="527" t="s">
        <v>3</v>
      </c>
      <c r="BN237" s="527">
        <f>IF(ISNA(VLOOKUP(N237,Veg_Parameters!$A$3:$N$65,8,FALSE)), 0, (VLOOKUP($N237,Veg_Parameters!$A$3:$N$65,8,FALSE)))</f>
        <v>0</v>
      </c>
      <c r="BO237" s="527">
        <f>AH237*(IF(ISNA(VLOOKUP($N237,Veg_Parameters!$A$3:$N$65,9,FALSE)), 0, (VLOOKUP($N237,Veg_Parameters!$A$3:$N$65,9,FALSE))))</f>
        <v>0</v>
      </c>
      <c r="BP237" s="527" t="str">
        <f>IF(ISBLANK(N237),"0",VLOOKUP($N237,Veg_Parameters!$A$4:$U$65,21,))</f>
        <v>0</v>
      </c>
      <c r="BQ237" s="529">
        <f t="shared" si="357"/>
        <v>0</v>
      </c>
      <c r="BR237" s="529">
        <f t="shared" si="358"/>
        <v>0</v>
      </c>
      <c r="BS237" s="529">
        <f t="shared" si="337"/>
        <v>0</v>
      </c>
      <c r="BT237" s="529">
        <f t="shared" si="359"/>
        <v>0</v>
      </c>
      <c r="BU237" s="529">
        <f t="shared" si="360"/>
        <v>0</v>
      </c>
      <c r="BV237" s="529">
        <f t="shared" si="361"/>
        <v>0</v>
      </c>
      <c r="BW237" s="532" t="str">
        <f t="shared" si="338"/>
        <v/>
      </c>
      <c r="BX237" s="532" t="str">
        <f t="shared" si="339"/>
        <v/>
      </c>
      <c r="BY237" s="532" t="str">
        <f t="shared" si="340"/>
        <v/>
      </c>
      <c r="BZ237" s="532" t="str">
        <f t="shared" si="341"/>
        <v/>
      </c>
      <c r="CA237" s="532">
        <f t="shared" si="342"/>
        <v>0</v>
      </c>
      <c r="CB237" s="533"/>
      <c r="CC237" s="624">
        <f t="shared" si="343"/>
        <v>0</v>
      </c>
      <c r="CD237" s="534">
        <f t="shared" si="344"/>
        <v>0</v>
      </c>
      <c r="CE237" s="534">
        <f t="shared" si="345"/>
        <v>0</v>
      </c>
      <c r="CF237" s="534">
        <f t="shared" si="346"/>
        <v>0</v>
      </c>
      <c r="CG237" s="534"/>
      <c r="CH237" s="534"/>
      <c r="CI237" s="534">
        <f t="shared" si="362"/>
        <v>0</v>
      </c>
      <c r="CL237" s="534">
        <f>IF(ISNA(VLOOKUP(I237,Veg_Parameters!$A$3:$N$65,13,FALSE)),0,(VLOOKUP(I237,Veg_Parameters!$A$3:$N$65,13,FALSE)))</f>
        <v>0</v>
      </c>
      <c r="CM237" s="534">
        <f t="shared" si="363"/>
        <v>0</v>
      </c>
      <c r="CN237" s="534">
        <f>IF(ISNA(VLOOKUP(N237,Veg_Parameters!$A$3:$N$65,13,FALSE)),0,(VLOOKUP(N237,Veg_Parameters!$A$3:$N$65,13,FALSE)))</f>
        <v>0</v>
      </c>
      <c r="CO237" s="523">
        <f t="shared" si="364"/>
        <v>0</v>
      </c>
    </row>
    <row r="238" spans="1:93" x14ac:dyDescent="0.2">
      <c r="A238" s="227"/>
      <c r="B238" s="171" t="str">
        <f t="shared" si="365"/>
        <v/>
      </c>
      <c r="C238" s="230"/>
      <c r="D238" s="169"/>
      <c r="E238" s="165"/>
      <c r="F238" s="165"/>
      <c r="G238" s="165"/>
      <c r="H238" s="165"/>
      <c r="I238" s="168"/>
      <c r="J238" s="167"/>
      <c r="K238" s="168"/>
      <c r="L238" s="167"/>
      <c r="M238" s="167"/>
      <c r="N238" s="168"/>
      <c r="O238" s="168"/>
      <c r="P238" s="167"/>
      <c r="Q238" s="167"/>
      <c r="R238" s="167"/>
      <c r="S238" s="222" t="str">
        <f>IF(ISBLANK(A238),"",IF(ISNA(VLOOKUP(I238,Veg_Parameters!$A$3:$N$65,3,FALSE)),0,(VLOOKUP(I238,Veg_Parameters!$A$3:$N$65,3,FALSE))))</f>
        <v/>
      </c>
      <c r="T238" s="222" t="str">
        <f>IF(ISBLANK(N238),"",IF(ISNA(VLOOKUP(N238,Veg_Parameters!$A$3:$N$65,3,FALSE)),0,(VLOOKUP(N238,Veg_Parameters!$A$3:$N$65,3,FALSE))))</f>
        <v/>
      </c>
      <c r="U238" s="523">
        <f t="shared" si="347"/>
        <v>0</v>
      </c>
      <c r="V238" s="523">
        <f t="shared" si="323"/>
        <v>0</v>
      </c>
      <c r="W238" s="524">
        <f>IF(ISBLANK(A238),0,IF(ISNA(VLOOKUP($I238,Veg_Parameters!$A$3:$N$65,10,FALSE)),0,(VLOOKUP($I238,Veg_Parameters!$A$3:$N$65,10,FALSE))))</f>
        <v>0</v>
      </c>
      <c r="X238" s="524">
        <f>IF(ISBLANK(A238),0,IF(ISNA(VLOOKUP($I238,Veg_Parameters!$A$3:$N$65,11,FALSE)),0,(VLOOKUP($I238,Veg_Parameters!$A$3:$N$65,11,FALSE))))</f>
        <v>0</v>
      </c>
      <c r="Y238" s="524">
        <f>IF(ISBLANK(A238),0,IF(ISNA(VLOOKUP($I238,Veg_Parameters!$A$3:$N$65,12,FALSE)),0,(VLOOKUP($I238,Veg_Parameters!$A$3:$N$65,12,FALSE))))</f>
        <v>0</v>
      </c>
      <c r="Z238" s="525">
        <f t="shared" si="324"/>
        <v>0</v>
      </c>
      <c r="AA238" s="525">
        <f t="shared" si="325"/>
        <v>0</v>
      </c>
      <c r="AB238" s="525">
        <f t="shared" si="326"/>
        <v>0</v>
      </c>
      <c r="AC238" s="524">
        <f>IF(ISBLANK(N238),0,IF(ISNA(VLOOKUP($N238,Veg_Parameters!$A$3:$N$65,10,FALSE)),0,(VLOOKUP($N238,Veg_Parameters!$A$3:$N$65,10,FALSE))))</f>
        <v>0</v>
      </c>
      <c r="AD238" s="524">
        <f>IF(ISBLANK(N238),0,IF(ISNA(VLOOKUP($N238,Veg_Parameters!$A$3:$N$65,11,FALSE)),0,(VLOOKUP($N238,Veg_Parameters!$A$3:$N$65,11,FALSE))))</f>
        <v>0</v>
      </c>
      <c r="AE238" s="524">
        <f>IF(ISBLANK(N238), 0, IF(ISNA(VLOOKUP($N238,Veg_Parameters!$A$3:$N$65,12,FALSE)),0,(VLOOKUP($N238,Veg_Parameters!$A$3:$N$65,12,FALSE))))</f>
        <v>0</v>
      </c>
      <c r="AF238" s="523">
        <f t="shared" si="327"/>
        <v>0</v>
      </c>
      <c r="AG238" s="523">
        <f t="shared" si="328"/>
        <v>0</v>
      </c>
      <c r="AH238" s="523">
        <f t="shared" si="329"/>
        <v>0</v>
      </c>
      <c r="AI238" s="526"/>
      <c r="AJ238" s="527">
        <f>AB238*(IF(ISNA(VLOOKUP($I238,Veg_Parameters!$A$3:$N$65,5,FALSE)),0,(VLOOKUP($I238,Veg_Parameters!$A$3:$N$65,5,FALSE))))</f>
        <v>0</v>
      </c>
      <c r="AK238" s="527">
        <f>IF(ISNA(VLOOKUP($I238,Veg_Parameters!$A$3:$N$65,4,FALSE)),0,(VLOOKUP($I238,Veg_Parameters!$A$3:$N$65,4,FALSE)))</f>
        <v>0</v>
      </c>
      <c r="AL238" s="527">
        <f>AB238*(IF(ISNA(VLOOKUP($I238,Veg_Parameters!$A$3:$N$65,7,FALSE)),0, (VLOOKUP($I238,Veg_Parameters!$A$3:$N$65,7,FALSE))))</f>
        <v>0</v>
      </c>
      <c r="AM238" s="528">
        <f>IF(ISNA(VLOOKUP($I238,Veg_Parameters!$A$3:$N$65,6,FALSE)), 0, (VLOOKUP($I238,Veg_Parameters!$A$3:$N$65,6,FALSE)))</f>
        <v>0</v>
      </c>
      <c r="AN238" s="529">
        <f t="shared" si="330"/>
        <v>20</v>
      </c>
      <c r="AO238" s="529">
        <f t="shared" si="331"/>
        <v>0</v>
      </c>
      <c r="AP238" s="529">
        <f t="shared" si="332"/>
        <v>0</v>
      </c>
      <c r="AQ238" s="530">
        <f t="shared" si="348"/>
        <v>0</v>
      </c>
      <c r="AR238" s="527" t="s">
        <v>3</v>
      </c>
      <c r="AS238" s="527">
        <f>IF(ISNA(VLOOKUP($I238,Veg_Parameters!$A$3:$N$65,8,FALSE)), 0, (VLOOKUP($I238,Veg_Parameters!$A$3:$N$65,8,FALSE)))</f>
        <v>0</v>
      </c>
      <c r="AT238" s="527">
        <f>AB238*(IF(ISNA(VLOOKUP($I238,Veg_Parameters!$A$3:$N$65,9,FALSE)), 0, (VLOOKUP($I238,Veg_Parameters!$A$3:$N$65,9,FALSE))))</f>
        <v>0</v>
      </c>
      <c r="AU238" s="527">
        <f>IF(ISBLANK(A238),0,VLOOKUP($I238,Veg_Parameters!$A$4:$U$65,21,))</f>
        <v>0</v>
      </c>
      <c r="AV238" s="527">
        <f t="shared" si="349"/>
        <v>0</v>
      </c>
      <c r="AW238" s="529">
        <f t="shared" si="350"/>
        <v>0</v>
      </c>
      <c r="AX238" s="529">
        <f t="shared" si="351"/>
        <v>0</v>
      </c>
      <c r="AY238" s="529">
        <f t="shared" si="333"/>
        <v>0</v>
      </c>
      <c r="AZ238" s="529">
        <f t="shared" si="352"/>
        <v>0</v>
      </c>
      <c r="BA238" s="529">
        <f t="shared" si="353"/>
        <v>0</v>
      </c>
      <c r="BB238" s="529">
        <f t="shared" si="354"/>
        <v>0</v>
      </c>
      <c r="BC238" s="529">
        <f t="shared" si="334"/>
        <v>0</v>
      </c>
      <c r="BD238" s="531"/>
      <c r="BE238" s="527">
        <f>AH238*(IF(ISNA(VLOOKUP($N238,Veg_Parameters!$A$3:$N$65,5,FALSE)),0,(VLOOKUP($N238,Veg_Parameters!$A$3:$N$65,5,FALSE))))</f>
        <v>0</v>
      </c>
      <c r="BF238" s="527">
        <f>IF(ISNA(VLOOKUP($N238,Veg_Parameters!$A$3:$N$65,4,FALSE)),0,(VLOOKUP($N238,Veg_Parameters!$A$3:$N$65,4,FALSE)))</f>
        <v>0</v>
      </c>
      <c r="BG238" s="527">
        <f>AH238*(IF(ISNA(VLOOKUP($N238,Veg_Parameters!$A$3:$N$65,7,FALSE)),0, (VLOOKUP($N238,Veg_Parameters!$A$3:$N$65,7,FALSE))))</f>
        <v>0</v>
      </c>
      <c r="BH238" s="527">
        <f>IF(ISNA(VLOOKUP($N238,Veg_Parameters!$A$3:$N$65,6,FALSE)), 0, (VLOOKUP($N238,Veg_Parameters!$A$3:$N$65,6,FALSE)))</f>
        <v>0</v>
      </c>
      <c r="BI238" s="529">
        <f t="shared" si="335"/>
        <v>20</v>
      </c>
      <c r="BJ238" s="529">
        <f t="shared" si="355"/>
        <v>0</v>
      </c>
      <c r="BK238" s="529">
        <f t="shared" si="336"/>
        <v>0</v>
      </c>
      <c r="BL238" s="530">
        <f t="shared" si="356"/>
        <v>0</v>
      </c>
      <c r="BM238" s="527" t="s">
        <v>3</v>
      </c>
      <c r="BN238" s="527">
        <f>IF(ISNA(VLOOKUP(N238,Veg_Parameters!$A$3:$N$65,8,FALSE)), 0, (VLOOKUP($N238,Veg_Parameters!$A$3:$N$65,8,FALSE)))</f>
        <v>0</v>
      </c>
      <c r="BO238" s="527">
        <f>AH238*(IF(ISNA(VLOOKUP($N238,Veg_Parameters!$A$3:$N$65,9,FALSE)), 0, (VLOOKUP($N238,Veg_Parameters!$A$3:$N$65,9,FALSE))))</f>
        <v>0</v>
      </c>
      <c r="BP238" s="527" t="str">
        <f>IF(ISBLANK(N238),"0",VLOOKUP($N238,Veg_Parameters!$A$4:$U$65,21,))</f>
        <v>0</v>
      </c>
      <c r="BQ238" s="529">
        <f t="shared" si="357"/>
        <v>0</v>
      </c>
      <c r="BR238" s="529">
        <f t="shared" si="358"/>
        <v>0</v>
      </c>
      <c r="BS238" s="529">
        <f t="shared" si="337"/>
        <v>0</v>
      </c>
      <c r="BT238" s="529">
        <f t="shared" si="359"/>
        <v>0</v>
      </c>
      <c r="BU238" s="529">
        <f t="shared" si="360"/>
        <v>0</v>
      </c>
      <c r="BV238" s="529">
        <f t="shared" si="361"/>
        <v>0</v>
      </c>
      <c r="BW238" s="532" t="str">
        <f t="shared" si="338"/>
        <v/>
      </c>
      <c r="BX238" s="532" t="str">
        <f t="shared" si="339"/>
        <v/>
      </c>
      <c r="BY238" s="532" t="str">
        <f t="shared" si="340"/>
        <v/>
      </c>
      <c r="BZ238" s="532" t="str">
        <f t="shared" si="341"/>
        <v/>
      </c>
      <c r="CA238" s="532">
        <f t="shared" si="342"/>
        <v>0</v>
      </c>
      <c r="CB238" s="533"/>
      <c r="CC238" s="624">
        <f t="shared" si="343"/>
        <v>0</v>
      </c>
      <c r="CD238" s="534">
        <f t="shared" si="344"/>
        <v>0</v>
      </c>
      <c r="CE238" s="534">
        <f t="shared" si="345"/>
        <v>0</v>
      </c>
      <c r="CF238" s="534">
        <f t="shared" si="346"/>
        <v>0</v>
      </c>
      <c r="CG238" s="534"/>
      <c r="CH238" s="534"/>
      <c r="CI238" s="534">
        <f t="shared" si="362"/>
        <v>0</v>
      </c>
      <c r="CL238" s="534">
        <f>IF(ISNA(VLOOKUP(I238,Veg_Parameters!$A$3:$N$65,13,FALSE)),0,(VLOOKUP(I238,Veg_Parameters!$A$3:$N$65,13,FALSE)))</f>
        <v>0</v>
      </c>
      <c r="CM238" s="534">
        <f t="shared" si="363"/>
        <v>0</v>
      </c>
      <c r="CN238" s="534">
        <f>IF(ISNA(VLOOKUP(N238,Veg_Parameters!$A$3:$N$65,13,FALSE)),0,(VLOOKUP(N238,Veg_Parameters!$A$3:$N$65,13,FALSE)))</f>
        <v>0</v>
      </c>
      <c r="CO238" s="523">
        <f t="shared" si="364"/>
        <v>0</v>
      </c>
    </row>
    <row r="239" spans="1:93" x14ac:dyDescent="0.2">
      <c r="A239" s="227"/>
      <c r="B239" s="171" t="str">
        <f t="shared" si="365"/>
        <v/>
      </c>
      <c r="C239" s="230"/>
      <c r="D239" s="169"/>
      <c r="E239" s="165"/>
      <c r="F239" s="165"/>
      <c r="G239" s="165"/>
      <c r="H239" s="165"/>
      <c r="I239" s="168"/>
      <c r="J239" s="167"/>
      <c r="K239" s="168"/>
      <c r="L239" s="167"/>
      <c r="M239" s="167"/>
      <c r="N239" s="168"/>
      <c r="O239" s="168"/>
      <c r="P239" s="167"/>
      <c r="Q239" s="167"/>
      <c r="R239" s="167"/>
      <c r="S239" s="222" t="str">
        <f>IF(ISBLANK(A239),"",IF(ISNA(VLOOKUP(I239,Veg_Parameters!$A$3:$N$65,3,FALSE)),0,(VLOOKUP(I239,Veg_Parameters!$A$3:$N$65,3,FALSE))))</f>
        <v/>
      </c>
      <c r="T239" s="222" t="str">
        <f>IF(ISBLANK(N239),"",IF(ISNA(VLOOKUP(N239,Veg_Parameters!$A$3:$N$65,3,FALSE)),0,(VLOOKUP(N239,Veg_Parameters!$A$3:$N$65,3,FALSE))))</f>
        <v/>
      </c>
      <c r="U239" s="523">
        <f t="shared" si="347"/>
        <v>0</v>
      </c>
      <c r="V239" s="523">
        <f t="shared" si="323"/>
        <v>0</v>
      </c>
      <c r="W239" s="524">
        <f>IF(ISBLANK(A239),0,IF(ISNA(VLOOKUP($I239,Veg_Parameters!$A$3:$N$65,10,FALSE)),0,(VLOOKUP($I239,Veg_Parameters!$A$3:$N$65,10,FALSE))))</f>
        <v>0</v>
      </c>
      <c r="X239" s="524">
        <f>IF(ISBLANK(A239),0,IF(ISNA(VLOOKUP($I239,Veg_Parameters!$A$3:$N$65,11,FALSE)),0,(VLOOKUP($I239,Veg_Parameters!$A$3:$N$65,11,FALSE))))</f>
        <v>0</v>
      </c>
      <c r="Y239" s="524">
        <f>IF(ISBLANK(A239),0,IF(ISNA(VLOOKUP($I239,Veg_Parameters!$A$3:$N$65,12,FALSE)),0,(VLOOKUP($I239,Veg_Parameters!$A$3:$N$65,12,FALSE))))</f>
        <v>0</v>
      </c>
      <c r="Z239" s="525">
        <f t="shared" si="324"/>
        <v>0</v>
      </c>
      <c r="AA239" s="525">
        <f t="shared" si="325"/>
        <v>0</v>
      </c>
      <c r="AB239" s="525">
        <f t="shared" si="326"/>
        <v>0</v>
      </c>
      <c r="AC239" s="524">
        <f>IF(ISBLANK(N239),0,IF(ISNA(VLOOKUP($N239,Veg_Parameters!$A$3:$N$65,10,FALSE)),0,(VLOOKUP($N239,Veg_Parameters!$A$3:$N$65,10,FALSE))))</f>
        <v>0</v>
      </c>
      <c r="AD239" s="524">
        <f>IF(ISBLANK(N239),0,IF(ISNA(VLOOKUP($N239,Veg_Parameters!$A$3:$N$65,11,FALSE)),0,(VLOOKUP($N239,Veg_Parameters!$A$3:$N$65,11,FALSE))))</f>
        <v>0</v>
      </c>
      <c r="AE239" s="524">
        <f>IF(ISBLANK(N239), 0, IF(ISNA(VLOOKUP($N239,Veg_Parameters!$A$3:$N$65,12,FALSE)),0,(VLOOKUP($N239,Veg_Parameters!$A$3:$N$65,12,FALSE))))</f>
        <v>0</v>
      </c>
      <c r="AF239" s="523">
        <f t="shared" si="327"/>
        <v>0</v>
      </c>
      <c r="AG239" s="523">
        <f t="shared" si="328"/>
        <v>0</v>
      </c>
      <c r="AH239" s="523">
        <f t="shared" si="329"/>
        <v>0</v>
      </c>
      <c r="AI239" s="526"/>
      <c r="AJ239" s="527">
        <f>AB239*(IF(ISNA(VLOOKUP($I239,Veg_Parameters!$A$3:$N$65,5,FALSE)),0,(VLOOKUP($I239,Veg_Parameters!$A$3:$N$65,5,FALSE))))</f>
        <v>0</v>
      </c>
      <c r="AK239" s="527">
        <f>IF(ISNA(VLOOKUP($I239,Veg_Parameters!$A$3:$N$65,4,FALSE)),0,(VLOOKUP($I239,Veg_Parameters!$A$3:$N$65,4,FALSE)))</f>
        <v>0</v>
      </c>
      <c r="AL239" s="527">
        <f>AB239*(IF(ISNA(VLOOKUP($I239,Veg_Parameters!$A$3:$N$65,7,FALSE)),0, (VLOOKUP($I239,Veg_Parameters!$A$3:$N$65,7,FALSE))))</f>
        <v>0</v>
      </c>
      <c r="AM239" s="528">
        <f>IF(ISNA(VLOOKUP($I239,Veg_Parameters!$A$3:$N$65,6,FALSE)), 0, (VLOOKUP($I239,Veg_Parameters!$A$3:$N$65,6,FALSE)))</f>
        <v>0</v>
      </c>
      <c r="AN239" s="529">
        <f t="shared" si="330"/>
        <v>20</v>
      </c>
      <c r="AO239" s="529">
        <f t="shared" si="331"/>
        <v>0</v>
      </c>
      <c r="AP239" s="529">
        <f t="shared" si="332"/>
        <v>0</v>
      </c>
      <c r="AQ239" s="530">
        <f t="shared" si="348"/>
        <v>0</v>
      </c>
      <c r="AR239" s="527" t="s">
        <v>3</v>
      </c>
      <c r="AS239" s="527">
        <f>IF(ISNA(VLOOKUP($I239,Veg_Parameters!$A$3:$N$65,8,FALSE)), 0, (VLOOKUP($I239,Veg_Parameters!$A$3:$N$65,8,FALSE)))</f>
        <v>0</v>
      </c>
      <c r="AT239" s="527">
        <f>AB239*(IF(ISNA(VLOOKUP($I239,Veg_Parameters!$A$3:$N$65,9,FALSE)), 0, (VLOOKUP($I239,Veg_Parameters!$A$3:$N$65,9,FALSE))))</f>
        <v>0</v>
      </c>
      <c r="AU239" s="527">
        <f>IF(ISBLANK(A239),0,VLOOKUP($I239,Veg_Parameters!$A$4:$U$65,21,))</f>
        <v>0</v>
      </c>
      <c r="AV239" s="527">
        <f t="shared" si="349"/>
        <v>0</v>
      </c>
      <c r="AW239" s="529">
        <f t="shared" si="350"/>
        <v>0</v>
      </c>
      <c r="AX239" s="529">
        <f t="shared" si="351"/>
        <v>0</v>
      </c>
      <c r="AY239" s="529">
        <f t="shared" si="333"/>
        <v>0</v>
      </c>
      <c r="AZ239" s="529">
        <f t="shared" si="352"/>
        <v>0</v>
      </c>
      <c r="BA239" s="529">
        <f t="shared" si="353"/>
        <v>0</v>
      </c>
      <c r="BB239" s="529">
        <f t="shared" si="354"/>
        <v>0</v>
      </c>
      <c r="BC239" s="529">
        <f t="shared" si="334"/>
        <v>0</v>
      </c>
      <c r="BD239" s="531"/>
      <c r="BE239" s="527">
        <f>AH239*(IF(ISNA(VLOOKUP($N239,Veg_Parameters!$A$3:$N$65,5,FALSE)),0,(VLOOKUP($N239,Veg_Parameters!$A$3:$N$65,5,FALSE))))</f>
        <v>0</v>
      </c>
      <c r="BF239" s="527">
        <f>IF(ISNA(VLOOKUP($N239,Veg_Parameters!$A$3:$N$65,4,FALSE)),0,(VLOOKUP($N239,Veg_Parameters!$A$3:$N$65,4,FALSE)))</f>
        <v>0</v>
      </c>
      <c r="BG239" s="527">
        <f>AH239*(IF(ISNA(VLOOKUP($N239,Veg_Parameters!$A$3:$N$65,7,FALSE)),0, (VLOOKUP($N239,Veg_Parameters!$A$3:$N$65,7,FALSE))))</f>
        <v>0</v>
      </c>
      <c r="BH239" s="527">
        <f>IF(ISNA(VLOOKUP($N239,Veg_Parameters!$A$3:$N$65,6,FALSE)), 0, (VLOOKUP($N239,Veg_Parameters!$A$3:$N$65,6,FALSE)))</f>
        <v>0</v>
      </c>
      <c r="BI239" s="529">
        <f t="shared" si="335"/>
        <v>20</v>
      </c>
      <c r="BJ239" s="529">
        <f t="shared" si="355"/>
        <v>0</v>
      </c>
      <c r="BK239" s="529">
        <f t="shared" si="336"/>
        <v>0</v>
      </c>
      <c r="BL239" s="530">
        <f t="shared" si="356"/>
        <v>0</v>
      </c>
      <c r="BM239" s="527" t="s">
        <v>3</v>
      </c>
      <c r="BN239" s="527">
        <f>IF(ISNA(VLOOKUP(N239,Veg_Parameters!$A$3:$N$65,8,FALSE)), 0, (VLOOKUP($N239,Veg_Parameters!$A$3:$N$65,8,FALSE)))</f>
        <v>0</v>
      </c>
      <c r="BO239" s="527">
        <f>AH239*(IF(ISNA(VLOOKUP($N239,Veg_Parameters!$A$3:$N$65,9,FALSE)), 0, (VLOOKUP($N239,Veg_Parameters!$A$3:$N$65,9,FALSE))))</f>
        <v>0</v>
      </c>
      <c r="BP239" s="527" t="str">
        <f>IF(ISBLANK(N239),"0",VLOOKUP($N239,Veg_Parameters!$A$4:$U$65,21,))</f>
        <v>0</v>
      </c>
      <c r="BQ239" s="529">
        <f t="shared" si="357"/>
        <v>0</v>
      </c>
      <c r="BR239" s="529">
        <f t="shared" si="358"/>
        <v>0</v>
      </c>
      <c r="BS239" s="529">
        <f t="shared" si="337"/>
        <v>0</v>
      </c>
      <c r="BT239" s="529">
        <f t="shared" si="359"/>
        <v>0</v>
      </c>
      <c r="BU239" s="529">
        <f t="shared" si="360"/>
        <v>0</v>
      </c>
      <c r="BV239" s="529">
        <f t="shared" si="361"/>
        <v>0</v>
      </c>
      <c r="BW239" s="532" t="str">
        <f t="shared" si="338"/>
        <v/>
      </c>
      <c r="BX239" s="532" t="str">
        <f t="shared" si="339"/>
        <v/>
      </c>
      <c r="BY239" s="532" t="str">
        <f t="shared" si="340"/>
        <v/>
      </c>
      <c r="BZ239" s="532" t="str">
        <f t="shared" si="341"/>
        <v/>
      </c>
      <c r="CA239" s="532">
        <f t="shared" si="342"/>
        <v>0</v>
      </c>
      <c r="CB239" s="533"/>
      <c r="CC239" s="624">
        <f t="shared" si="343"/>
        <v>0</v>
      </c>
      <c r="CD239" s="534">
        <f t="shared" si="344"/>
        <v>0</v>
      </c>
      <c r="CE239" s="534">
        <f t="shared" si="345"/>
        <v>0</v>
      </c>
      <c r="CF239" s="534">
        <f t="shared" si="346"/>
        <v>0</v>
      </c>
      <c r="CG239" s="534"/>
      <c r="CH239" s="534"/>
      <c r="CI239" s="534">
        <f t="shared" si="362"/>
        <v>0</v>
      </c>
      <c r="CL239" s="534">
        <f>IF(ISNA(VLOOKUP(I239,Veg_Parameters!$A$3:$N$65,13,FALSE)),0,(VLOOKUP(I239,Veg_Parameters!$A$3:$N$65,13,FALSE)))</f>
        <v>0</v>
      </c>
      <c r="CM239" s="534">
        <f t="shared" si="363"/>
        <v>0</v>
      </c>
      <c r="CN239" s="534">
        <f>IF(ISNA(VLOOKUP(N239,Veg_Parameters!$A$3:$N$65,13,FALSE)),0,(VLOOKUP(N239,Veg_Parameters!$A$3:$N$65,13,FALSE)))</f>
        <v>0</v>
      </c>
      <c r="CO239" s="523">
        <f t="shared" si="364"/>
        <v>0</v>
      </c>
    </row>
    <row r="240" spans="1:93" x14ac:dyDescent="0.2">
      <c r="A240" s="227"/>
      <c r="B240" s="171" t="str">
        <f t="shared" si="365"/>
        <v/>
      </c>
      <c r="C240" s="230"/>
      <c r="D240" s="169"/>
      <c r="E240" s="165"/>
      <c r="F240" s="165"/>
      <c r="G240" s="165"/>
      <c r="H240" s="165"/>
      <c r="I240" s="168"/>
      <c r="J240" s="167"/>
      <c r="K240" s="168"/>
      <c r="L240" s="167"/>
      <c r="M240" s="167"/>
      <c r="N240" s="168"/>
      <c r="O240" s="168"/>
      <c r="P240" s="167"/>
      <c r="Q240" s="167"/>
      <c r="R240" s="167"/>
      <c r="S240" s="222" t="str">
        <f>IF(ISBLANK(A240),"",IF(ISNA(VLOOKUP(I240,Veg_Parameters!$A$3:$N$65,3,FALSE)),0,(VLOOKUP(I240,Veg_Parameters!$A$3:$N$65,3,FALSE))))</f>
        <v/>
      </c>
      <c r="T240" s="222" t="str">
        <f>IF(ISBLANK(N240),"",IF(ISNA(VLOOKUP(N240,Veg_Parameters!$A$3:$N$65,3,FALSE)),0,(VLOOKUP(N240,Veg_Parameters!$A$3:$N$65,3,FALSE))))</f>
        <v/>
      </c>
      <c r="U240" s="523">
        <f t="shared" si="347"/>
        <v>0</v>
      </c>
      <c r="V240" s="523">
        <f t="shared" si="323"/>
        <v>0</v>
      </c>
      <c r="W240" s="524">
        <f>IF(ISBLANK(A240),0,IF(ISNA(VLOOKUP($I240,Veg_Parameters!$A$3:$N$65,10,FALSE)),0,(VLOOKUP($I240,Veg_Parameters!$A$3:$N$65,10,FALSE))))</f>
        <v>0</v>
      </c>
      <c r="X240" s="524">
        <f>IF(ISBLANK(A240),0,IF(ISNA(VLOOKUP($I240,Veg_Parameters!$A$3:$N$65,11,FALSE)),0,(VLOOKUP($I240,Veg_Parameters!$A$3:$N$65,11,FALSE))))</f>
        <v>0</v>
      </c>
      <c r="Y240" s="524">
        <f>IF(ISBLANK(A240),0,IF(ISNA(VLOOKUP($I240,Veg_Parameters!$A$3:$N$65,12,FALSE)),0,(VLOOKUP($I240,Veg_Parameters!$A$3:$N$65,12,FALSE))))</f>
        <v>0</v>
      </c>
      <c r="Z240" s="525">
        <f t="shared" si="324"/>
        <v>0</v>
      </c>
      <c r="AA240" s="525">
        <f t="shared" si="325"/>
        <v>0</v>
      </c>
      <c r="AB240" s="525">
        <f t="shared" si="326"/>
        <v>0</v>
      </c>
      <c r="AC240" s="524">
        <f>IF(ISBLANK(N240),0,IF(ISNA(VLOOKUP($N240,Veg_Parameters!$A$3:$N$65,10,FALSE)),0,(VLOOKUP($N240,Veg_Parameters!$A$3:$N$65,10,FALSE))))</f>
        <v>0</v>
      </c>
      <c r="AD240" s="524">
        <f>IF(ISBLANK(N240),0,IF(ISNA(VLOOKUP($N240,Veg_Parameters!$A$3:$N$65,11,FALSE)),0,(VLOOKUP($N240,Veg_Parameters!$A$3:$N$65,11,FALSE))))</f>
        <v>0</v>
      </c>
      <c r="AE240" s="524">
        <f>IF(ISBLANK(N240), 0, IF(ISNA(VLOOKUP($N240,Veg_Parameters!$A$3:$N$65,12,FALSE)),0,(VLOOKUP($N240,Veg_Parameters!$A$3:$N$65,12,FALSE))))</f>
        <v>0</v>
      </c>
      <c r="AF240" s="523">
        <f t="shared" si="327"/>
        <v>0</v>
      </c>
      <c r="AG240" s="523">
        <f t="shared" si="328"/>
        <v>0</v>
      </c>
      <c r="AH240" s="523">
        <f t="shared" si="329"/>
        <v>0</v>
      </c>
      <c r="AI240" s="526"/>
      <c r="AJ240" s="527">
        <f>AB240*(IF(ISNA(VLOOKUP($I240,Veg_Parameters!$A$3:$N$65,5,FALSE)),0,(VLOOKUP($I240,Veg_Parameters!$A$3:$N$65,5,FALSE))))</f>
        <v>0</v>
      </c>
      <c r="AK240" s="527">
        <f>IF(ISNA(VLOOKUP($I240,Veg_Parameters!$A$3:$N$65,4,FALSE)),0,(VLOOKUP($I240,Veg_Parameters!$A$3:$N$65,4,FALSE)))</f>
        <v>0</v>
      </c>
      <c r="AL240" s="527">
        <f>AB240*(IF(ISNA(VLOOKUP($I240,Veg_Parameters!$A$3:$N$65,7,FALSE)),0, (VLOOKUP($I240,Veg_Parameters!$A$3:$N$65,7,FALSE))))</f>
        <v>0</v>
      </c>
      <c r="AM240" s="528">
        <f>IF(ISNA(VLOOKUP($I240,Veg_Parameters!$A$3:$N$65,6,FALSE)), 0, (VLOOKUP($I240,Veg_Parameters!$A$3:$N$65,6,FALSE)))</f>
        <v>0</v>
      </c>
      <c r="AN240" s="529">
        <f t="shared" si="330"/>
        <v>20</v>
      </c>
      <c r="AO240" s="529">
        <f t="shared" si="331"/>
        <v>0</v>
      </c>
      <c r="AP240" s="529">
        <f t="shared" si="332"/>
        <v>0</v>
      </c>
      <c r="AQ240" s="530">
        <f t="shared" si="348"/>
        <v>0</v>
      </c>
      <c r="AR240" s="527" t="s">
        <v>3</v>
      </c>
      <c r="AS240" s="527">
        <f>IF(ISNA(VLOOKUP($I240,Veg_Parameters!$A$3:$N$65,8,FALSE)), 0, (VLOOKUP($I240,Veg_Parameters!$A$3:$N$65,8,FALSE)))</f>
        <v>0</v>
      </c>
      <c r="AT240" s="527">
        <f>AB240*(IF(ISNA(VLOOKUP($I240,Veg_Parameters!$A$3:$N$65,9,FALSE)), 0, (VLOOKUP($I240,Veg_Parameters!$A$3:$N$65,9,FALSE))))</f>
        <v>0</v>
      </c>
      <c r="AU240" s="527">
        <f>IF(ISBLANK(A240),0,VLOOKUP($I240,Veg_Parameters!$A$4:$U$65,21,))</f>
        <v>0</v>
      </c>
      <c r="AV240" s="527">
        <f t="shared" si="349"/>
        <v>0</v>
      </c>
      <c r="AW240" s="529">
        <f t="shared" si="350"/>
        <v>0</v>
      </c>
      <c r="AX240" s="529">
        <f t="shared" si="351"/>
        <v>0</v>
      </c>
      <c r="AY240" s="529">
        <f t="shared" si="333"/>
        <v>0</v>
      </c>
      <c r="AZ240" s="529">
        <f t="shared" si="352"/>
        <v>0</v>
      </c>
      <c r="BA240" s="529">
        <f t="shared" si="353"/>
        <v>0</v>
      </c>
      <c r="BB240" s="529">
        <f t="shared" si="354"/>
        <v>0</v>
      </c>
      <c r="BC240" s="529">
        <f t="shared" si="334"/>
        <v>0</v>
      </c>
      <c r="BD240" s="531"/>
      <c r="BE240" s="527">
        <f>AH240*(IF(ISNA(VLOOKUP($N240,Veg_Parameters!$A$3:$N$65,5,FALSE)),0,(VLOOKUP($N240,Veg_Parameters!$A$3:$N$65,5,FALSE))))</f>
        <v>0</v>
      </c>
      <c r="BF240" s="527">
        <f>IF(ISNA(VLOOKUP($N240,Veg_Parameters!$A$3:$N$65,4,FALSE)),0,(VLOOKUP($N240,Veg_Parameters!$A$3:$N$65,4,FALSE)))</f>
        <v>0</v>
      </c>
      <c r="BG240" s="527">
        <f>AH240*(IF(ISNA(VLOOKUP($N240,Veg_Parameters!$A$3:$N$65,7,FALSE)),0, (VLOOKUP($N240,Veg_Parameters!$A$3:$N$65,7,FALSE))))</f>
        <v>0</v>
      </c>
      <c r="BH240" s="527">
        <f>IF(ISNA(VLOOKUP($N240,Veg_Parameters!$A$3:$N$65,6,FALSE)), 0, (VLOOKUP($N240,Veg_Parameters!$A$3:$N$65,6,FALSE)))</f>
        <v>0</v>
      </c>
      <c r="BI240" s="529">
        <f t="shared" si="335"/>
        <v>20</v>
      </c>
      <c r="BJ240" s="529">
        <f t="shared" si="355"/>
        <v>0</v>
      </c>
      <c r="BK240" s="529">
        <f t="shared" si="336"/>
        <v>0</v>
      </c>
      <c r="BL240" s="530">
        <f t="shared" si="356"/>
        <v>0</v>
      </c>
      <c r="BM240" s="527" t="s">
        <v>3</v>
      </c>
      <c r="BN240" s="527">
        <f>IF(ISNA(VLOOKUP(N240,Veg_Parameters!$A$3:$N$65,8,FALSE)), 0, (VLOOKUP($N240,Veg_Parameters!$A$3:$N$65,8,FALSE)))</f>
        <v>0</v>
      </c>
      <c r="BO240" s="527">
        <f>AH240*(IF(ISNA(VLOOKUP($N240,Veg_Parameters!$A$3:$N$65,9,FALSE)), 0, (VLOOKUP($N240,Veg_Parameters!$A$3:$N$65,9,FALSE))))</f>
        <v>0</v>
      </c>
      <c r="BP240" s="527" t="str">
        <f>IF(ISBLANK(N240),"0",VLOOKUP($N240,Veg_Parameters!$A$4:$U$65,21,))</f>
        <v>0</v>
      </c>
      <c r="BQ240" s="529">
        <f t="shared" si="357"/>
        <v>0</v>
      </c>
      <c r="BR240" s="529">
        <f t="shared" si="358"/>
        <v>0</v>
      </c>
      <c r="BS240" s="529">
        <f t="shared" si="337"/>
        <v>0</v>
      </c>
      <c r="BT240" s="529">
        <f t="shared" si="359"/>
        <v>0</v>
      </c>
      <c r="BU240" s="529">
        <f t="shared" si="360"/>
        <v>0</v>
      </c>
      <c r="BV240" s="529">
        <f t="shared" si="361"/>
        <v>0</v>
      </c>
      <c r="BW240" s="532" t="str">
        <f t="shared" si="338"/>
        <v/>
      </c>
      <c r="BX240" s="532" t="str">
        <f t="shared" si="339"/>
        <v/>
      </c>
      <c r="BY240" s="532" t="str">
        <f t="shared" si="340"/>
        <v/>
      </c>
      <c r="BZ240" s="532" t="str">
        <f t="shared" si="341"/>
        <v/>
      </c>
      <c r="CA240" s="532">
        <f t="shared" si="342"/>
        <v>0</v>
      </c>
      <c r="CB240" s="533"/>
      <c r="CC240" s="624">
        <f t="shared" si="343"/>
        <v>0</v>
      </c>
      <c r="CD240" s="534">
        <f t="shared" si="344"/>
        <v>0</v>
      </c>
      <c r="CE240" s="534">
        <f t="shared" si="345"/>
        <v>0</v>
      </c>
      <c r="CF240" s="534">
        <f t="shared" si="346"/>
        <v>0</v>
      </c>
      <c r="CG240" s="534"/>
      <c r="CH240" s="534"/>
      <c r="CI240" s="534">
        <f t="shared" si="362"/>
        <v>0</v>
      </c>
      <c r="CL240" s="534">
        <f>IF(ISNA(VLOOKUP(I240,Veg_Parameters!$A$3:$N$65,13,FALSE)),0,(VLOOKUP(I240,Veg_Parameters!$A$3:$N$65,13,FALSE)))</f>
        <v>0</v>
      </c>
      <c r="CM240" s="534">
        <f t="shared" si="363"/>
        <v>0</v>
      </c>
      <c r="CN240" s="534">
        <f>IF(ISNA(VLOOKUP(N240,Veg_Parameters!$A$3:$N$65,13,FALSE)),0,(VLOOKUP(N240,Veg_Parameters!$A$3:$N$65,13,FALSE)))</f>
        <v>0</v>
      </c>
      <c r="CO240" s="523">
        <f t="shared" si="364"/>
        <v>0</v>
      </c>
    </row>
    <row r="241" spans="1:93" x14ac:dyDescent="0.2">
      <c r="A241" s="227"/>
      <c r="B241" s="171" t="str">
        <f t="shared" si="365"/>
        <v/>
      </c>
      <c r="C241" s="230"/>
      <c r="D241" s="169"/>
      <c r="E241" s="165"/>
      <c r="F241" s="165"/>
      <c r="G241" s="165"/>
      <c r="H241" s="165"/>
      <c r="I241" s="168"/>
      <c r="J241" s="167"/>
      <c r="K241" s="168"/>
      <c r="L241" s="167"/>
      <c r="M241" s="167"/>
      <c r="N241" s="168"/>
      <c r="O241" s="168"/>
      <c r="P241" s="167"/>
      <c r="Q241" s="167"/>
      <c r="R241" s="167"/>
      <c r="S241" s="222" t="str">
        <f>IF(ISBLANK(A241),"",IF(ISNA(VLOOKUP(I241,Veg_Parameters!$A$3:$N$65,3,FALSE)),0,(VLOOKUP(I241,Veg_Parameters!$A$3:$N$65,3,FALSE))))</f>
        <v/>
      </c>
      <c r="T241" s="222" t="str">
        <f>IF(ISBLANK(N241),"",IF(ISNA(VLOOKUP(N241,Veg_Parameters!$A$3:$N$65,3,FALSE)),0,(VLOOKUP(N241,Veg_Parameters!$A$3:$N$65,3,FALSE))))</f>
        <v/>
      </c>
      <c r="U241" s="523">
        <f t="shared" si="347"/>
        <v>0</v>
      </c>
      <c r="V241" s="523">
        <f t="shared" si="323"/>
        <v>0</v>
      </c>
      <c r="W241" s="524">
        <f>IF(ISBLANK(A241),0,IF(ISNA(VLOOKUP($I241,Veg_Parameters!$A$3:$N$65,10,FALSE)),0,(VLOOKUP($I241,Veg_Parameters!$A$3:$N$65,10,FALSE))))</f>
        <v>0</v>
      </c>
      <c r="X241" s="524">
        <f>IF(ISBLANK(A241),0,IF(ISNA(VLOOKUP($I241,Veg_Parameters!$A$3:$N$65,11,FALSE)),0,(VLOOKUP($I241,Veg_Parameters!$A$3:$N$65,11,FALSE))))</f>
        <v>0</v>
      </c>
      <c r="Y241" s="524">
        <f>IF(ISBLANK(A241),0,IF(ISNA(VLOOKUP($I241,Veg_Parameters!$A$3:$N$65,12,FALSE)),0,(VLOOKUP($I241,Veg_Parameters!$A$3:$N$65,12,FALSE))))</f>
        <v>0</v>
      </c>
      <c r="Z241" s="525">
        <f t="shared" si="324"/>
        <v>0</v>
      </c>
      <c r="AA241" s="525">
        <f t="shared" si="325"/>
        <v>0</v>
      </c>
      <c r="AB241" s="525">
        <f t="shared" si="326"/>
        <v>0</v>
      </c>
      <c r="AC241" s="524">
        <f>IF(ISBLANK(N241),0,IF(ISNA(VLOOKUP($N241,Veg_Parameters!$A$3:$N$65,10,FALSE)),0,(VLOOKUP($N241,Veg_Parameters!$A$3:$N$65,10,FALSE))))</f>
        <v>0</v>
      </c>
      <c r="AD241" s="524">
        <f>IF(ISBLANK(N241),0,IF(ISNA(VLOOKUP($N241,Veg_Parameters!$A$3:$N$65,11,FALSE)),0,(VLOOKUP($N241,Veg_Parameters!$A$3:$N$65,11,FALSE))))</f>
        <v>0</v>
      </c>
      <c r="AE241" s="524">
        <f>IF(ISBLANK(N241), 0, IF(ISNA(VLOOKUP($N241,Veg_Parameters!$A$3:$N$65,12,FALSE)),0,(VLOOKUP($N241,Veg_Parameters!$A$3:$N$65,12,FALSE))))</f>
        <v>0</v>
      </c>
      <c r="AF241" s="523">
        <f t="shared" si="327"/>
        <v>0</v>
      </c>
      <c r="AG241" s="523">
        <f t="shared" si="328"/>
        <v>0</v>
      </c>
      <c r="AH241" s="523">
        <f t="shared" si="329"/>
        <v>0</v>
      </c>
      <c r="AI241" s="526"/>
      <c r="AJ241" s="527">
        <f>AB241*(IF(ISNA(VLOOKUP($I241,Veg_Parameters!$A$3:$N$65,5,FALSE)),0,(VLOOKUP($I241,Veg_Parameters!$A$3:$N$65,5,FALSE))))</f>
        <v>0</v>
      </c>
      <c r="AK241" s="527">
        <f>IF(ISNA(VLOOKUP($I241,Veg_Parameters!$A$3:$N$65,4,FALSE)),0,(VLOOKUP($I241,Veg_Parameters!$A$3:$N$65,4,FALSE)))</f>
        <v>0</v>
      </c>
      <c r="AL241" s="527">
        <f>AB241*(IF(ISNA(VLOOKUP($I241,Veg_Parameters!$A$3:$N$65,7,FALSE)),0, (VLOOKUP($I241,Veg_Parameters!$A$3:$N$65,7,FALSE))))</f>
        <v>0</v>
      </c>
      <c r="AM241" s="528">
        <f>IF(ISNA(VLOOKUP($I241,Veg_Parameters!$A$3:$N$65,6,FALSE)), 0, (VLOOKUP($I241,Veg_Parameters!$A$3:$N$65,6,FALSE)))</f>
        <v>0</v>
      </c>
      <c r="AN241" s="529">
        <f t="shared" si="330"/>
        <v>20</v>
      </c>
      <c r="AO241" s="529">
        <f t="shared" si="331"/>
        <v>0</v>
      </c>
      <c r="AP241" s="529">
        <f t="shared" si="332"/>
        <v>0</v>
      </c>
      <c r="AQ241" s="530">
        <f t="shared" si="348"/>
        <v>0</v>
      </c>
      <c r="AR241" s="527" t="s">
        <v>3</v>
      </c>
      <c r="AS241" s="527">
        <f>IF(ISNA(VLOOKUP($I241,Veg_Parameters!$A$3:$N$65,8,FALSE)), 0, (VLOOKUP($I241,Veg_Parameters!$A$3:$N$65,8,FALSE)))</f>
        <v>0</v>
      </c>
      <c r="AT241" s="527">
        <f>AB241*(IF(ISNA(VLOOKUP($I241,Veg_Parameters!$A$3:$N$65,9,FALSE)), 0, (VLOOKUP($I241,Veg_Parameters!$A$3:$N$65,9,FALSE))))</f>
        <v>0</v>
      </c>
      <c r="AU241" s="527">
        <f>IF(ISBLANK(A241),0,VLOOKUP($I241,Veg_Parameters!$A$4:$U$65,21,))</f>
        <v>0</v>
      </c>
      <c r="AV241" s="527">
        <f t="shared" si="349"/>
        <v>0</v>
      </c>
      <c r="AW241" s="529">
        <f t="shared" si="350"/>
        <v>0</v>
      </c>
      <c r="AX241" s="529">
        <f t="shared" si="351"/>
        <v>0</v>
      </c>
      <c r="AY241" s="529">
        <f t="shared" si="333"/>
        <v>0</v>
      </c>
      <c r="AZ241" s="529">
        <f t="shared" si="352"/>
        <v>0</v>
      </c>
      <c r="BA241" s="529">
        <f t="shared" si="353"/>
        <v>0</v>
      </c>
      <c r="BB241" s="529">
        <f t="shared" si="354"/>
        <v>0</v>
      </c>
      <c r="BC241" s="529">
        <f t="shared" si="334"/>
        <v>0</v>
      </c>
      <c r="BD241" s="531"/>
      <c r="BE241" s="527">
        <f>AH241*(IF(ISNA(VLOOKUP($N241,Veg_Parameters!$A$3:$N$65,5,FALSE)),0,(VLOOKUP($N241,Veg_Parameters!$A$3:$N$65,5,FALSE))))</f>
        <v>0</v>
      </c>
      <c r="BF241" s="527">
        <f>IF(ISNA(VLOOKUP($N241,Veg_Parameters!$A$3:$N$65,4,FALSE)),0,(VLOOKUP($N241,Veg_Parameters!$A$3:$N$65,4,FALSE)))</f>
        <v>0</v>
      </c>
      <c r="BG241" s="527">
        <f>AH241*(IF(ISNA(VLOOKUP($N241,Veg_Parameters!$A$3:$N$65,7,FALSE)),0, (VLOOKUP($N241,Veg_Parameters!$A$3:$N$65,7,FALSE))))</f>
        <v>0</v>
      </c>
      <c r="BH241" s="527">
        <f>IF(ISNA(VLOOKUP($N241,Veg_Parameters!$A$3:$N$65,6,FALSE)), 0, (VLOOKUP($N241,Veg_Parameters!$A$3:$N$65,6,FALSE)))</f>
        <v>0</v>
      </c>
      <c r="BI241" s="529">
        <f t="shared" si="335"/>
        <v>20</v>
      </c>
      <c r="BJ241" s="529">
        <f t="shared" si="355"/>
        <v>0</v>
      </c>
      <c r="BK241" s="529">
        <f t="shared" si="336"/>
        <v>0</v>
      </c>
      <c r="BL241" s="530">
        <f t="shared" si="356"/>
        <v>0</v>
      </c>
      <c r="BM241" s="527" t="s">
        <v>3</v>
      </c>
      <c r="BN241" s="527">
        <f>IF(ISNA(VLOOKUP(N241,Veg_Parameters!$A$3:$N$65,8,FALSE)), 0, (VLOOKUP($N241,Veg_Parameters!$A$3:$N$65,8,FALSE)))</f>
        <v>0</v>
      </c>
      <c r="BO241" s="527">
        <f>AH241*(IF(ISNA(VLOOKUP($N241,Veg_Parameters!$A$3:$N$65,9,FALSE)), 0, (VLOOKUP($N241,Veg_Parameters!$A$3:$N$65,9,FALSE))))</f>
        <v>0</v>
      </c>
      <c r="BP241" s="527" t="str">
        <f>IF(ISBLANK(N241),"0",VLOOKUP($N241,Veg_Parameters!$A$4:$U$65,21,))</f>
        <v>0</v>
      </c>
      <c r="BQ241" s="529">
        <f t="shared" si="357"/>
        <v>0</v>
      </c>
      <c r="BR241" s="529">
        <f t="shared" si="358"/>
        <v>0</v>
      </c>
      <c r="BS241" s="529">
        <f t="shared" si="337"/>
        <v>0</v>
      </c>
      <c r="BT241" s="529">
        <f t="shared" si="359"/>
        <v>0</v>
      </c>
      <c r="BU241" s="529">
        <f t="shared" si="360"/>
        <v>0</v>
      </c>
      <c r="BV241" s="529">
        <f t="shared" si="361"/>
        <v>0</v>
      </c>
      <c r="BW241" s="532" t="str">
        <f t="shared" si="338"/>
        <v/>
      </c>
      <c r="BX241" s="532" t="str">
        <f t="shared" si="339"/>
        <v/>
      </c>
      <c r="BY241" s="532" t="str">
        <f t="shared" si="340"/>
        <v/>
      </c>
      <c r="BZ241" s="532" t="str">
        <f t="shared" si="341"/>
        <v/>
      </c>
      <c r="CA241" s="532">
        <f t="shared" si="342"/>
        <v>0</v>
      </c>
      <c r="CB241" s="533"/>
      <c r="CC241" s="624">
        <f t="shared" si="343"/>
        <v>0</v>
      </c>
      <c r="CD241" s="534">
        <f t="shared" si="344"/>
        <v>0</v>
      </c>
      <c r="CE241" s="534">
        <f t="shared" si="345"/>
        <v>0</v>
      </c>
      <c r="CF241" s="534">
        <f t="shared" si="346"/>
        <v>0</v>
      </c>
      <c r="CG241" s="534"/>
      <c r="CH241" s="534"/>
      <c r="CI241" s="534">
        <f t="shared" si="362"/>
        <v>0</v>
      </c>
      <c r="CL241" s="534">
        <f>IF(ISNA(VLOOKUP(I241,Veg_Parameters!$A$3:$N$65,13,FALSE)),0,(VLOOKUP(I241,Veg_Parameters!$A$3:$N$65,13,FALSE)))</f>
        <v>0</v>
      </c>
      <c r="CM241" s="534">
        <f t="shared" si="363"/>
        <v>0</v>
      </c>
      <c r="CN241" s="534">
        <f>IF(ISNA(VLOOKUP(N241,Veg_Parameters!$A$3:$N$65,13,FALSE)),0,(VLOOKUP(N241,Veg_Parameters!$A$3:$N$65,13,FALSE)))</f>
        <v>0</v>
      </c>
      <c r="CO241" s="523">
        <f t="shared" si="364"/>
        <v>0</v>
      </c>
    </row>
    <row r="242" spans="1:93" x14ac:dyDescent="0.2">
      <c r="A242" s="227"/>
      <c r="B242" s="171" t="str">
        <f t="shared" si="365"/>
        <v/>
      </c>
      <c r="C242" s="230"/>
      <c r="D242" s="169"/>
      <c r="E242" s="165"/>
      <c r="F242" s="165"/>
      <c r="G242" s="165"/>
      <c r="H242" s="165"/>
      <c r="I242" s="168"/>
      <c r="J242" s="167"/>
      <c r="K242" s="168"/>
      <c r="L242" s="167"/>
      <c r="M242" s="167"/>
      <c r="N242" s="168"/>
      <c r="O242" s="168"/>
      <c r="P242" s="167"/>
      <c r="Q242" s="167"/>
      <c r="R242" s="167"/>
      <c r="S242" s="222" t="str">
        <f>IF(ISBLANK(A242),"",IF(ISNA(VLOOKUP(I242,Veg_Parameters!$A$3:$N$65,3,FALSE)),0,(VLOOKUP(I242,Veg_Parameters!$A$3:$N$65,3,FALSE))))</f>
        <v/>
      </c>
      <c r="T242" s="222" t="str">
        <f>IF(ISBLANK(N242),"",IF(ISNA(VLOOKUP(N242,Veg_Parameters!$A$3:$N$65,3,FALSE)),0,(VLOOKUP(N242,Veg_Parameters!$A$3:$N$65,3,FALSE))))</f>
        <v/>
      </c>
      <c r="U242" s="523">
        <f t="shared" si="347"/>
        <v>0</v>
      </c>
      <c r="V242" s="523">
        <f t="shared" si="323"/>
        <v>0</v>
      </c>
      <c r="W242" s="524">
        <f>IF(ISBLANK(A242),0,IF(ISNA(VLOOKUP($I242,Veg_Parameters!$A$3:$N$65,10,FALSE)),0,(VLOOKUP($I242,Veg_Parameters!$A$3:$N$65,10,FALSE))))</f>
        <v>0</v>
      </c>
      <c r="X242" s="524">
        <f>IF(ISBLANK(A242),0,IF(ISNA(VLOOKUP($I242,Veg_Parameters!$A$3:$N$65,11,FALSE)),0,(VLOOKUP($I242,Veg_Parameters!$A$3:$N$65,11,FALSE))))</f>
        <v>0</v>
      </c>
      <c r="Y242" s="524">
        <f>IF(ISBLANK(A242),0,IF(ISNA(VLOOKUP($I242,Veg_Parameters!$A$3:$N$65,12,FALSE)),0,(VLOOKUP($I242,Veg_Parameters!$A$3:$N$65,12,FALSE))))</f>
        <v>0</v>
      </c>
      <c r="Z242" s="525">
        <f t="shared" si="324"/>
        <v>0</v>
      </c>
      <c r="AA242" s="525">
        <f t="shared" si="325"/>
        <v>0</v>
      </c>
      <c r="AB242" s="525">
        <f t="shared" si="326"/>
        <v>0</v>
      </c>
      <c r="AC242" s="524">
        <f>IF(ISBLANK(N242),0,IF(ISNA(VLOOKUP($N242,Veg_Parameters!$A$3:$N$65,10,FALSE)),0,(VLOOKUP($N242,Veg_Parameters!$A$3:$N$65,10,FALSE))))</f>
        <v>0</v>
      </c>
      <c r="AD242" s="524">
        <f>IF(ISBLANK(N242),0,IF(ISNA(VLOOKUP($N242,Veg_Parameters!$A$3:$N$65,11,FALSE)),0,(VLOOKUP($N242,Veg_Parameters!$A$3:$N$65,11,FALSE))))</f>
        <v>0</v>
      </c>
      <c r="AE242" s="524">
        <f>IF(ISBLANK(N242), 0, IF(ISNA(VLOOKUP($N242,Veg_Parameters!$A$3:$N$65,12,FALSE)),0,(VLOOKUP($N242,Veg_Parameters!$A$3:$N$65,12,FALSE))))</f>
        <v>0</v>
      </c>
      <c r="AF242" s="523">
        <f t="shared" si="327"/>
        <v>0</v>
      </c>
      <c r="AG242" s="523">
        <f t="shared" si="328"/>
        <v>0</v>
      </c>
      <c r="AH242" s="523">
        <f t="shared" si="329"/>
        <v>0</v>
      </c>
      <c r="AI242" s="526"/>
      <c r="AJ242" s="527">
        <f>AB242*(IF(ISNA(VLOOKUP($I242,Veg_Parameters!$A$3:$N$65,5,FALSE)),0,(VLOOKUP($I242,Veg_Parameters!$A$3:$N$65,5,FALSE))))</f>
        <v>0</v>
      </c>
      <c r="AK242" s="527">
        <f>IF(ISNA(VLOOKUP($I242,Veg_Parameters!$A$3:$N$65,4,FALSE)),0,(VLOOKUP($I242,Veg_Parameters!$A$3:$N$65,4,FALSE)))</f>
        <v>0</v>
      </c>
      <c r="AL242" s="527">
        <f>AB242*(IF(ISNA(VLOOKUP($I242,Veg_Parameters!$A$3:$N$65,7,FALSE)),0, (VLOOKUP($I242,Veg_Parameters!$A$3:$N$65,7,FALSE))))</f>
        <v>0</v>
      </c>
      <c r="AM242" s="528">
        <f>IF(ISNA(VLOOKUP($I242,Veg_Parameters!$A$3:$N$65,6,FALSE)), 0, (VLOOKUP($I242,Veg_Parameters!$A$3:$N$65,6,FALSE)))</f>
        <v>0</v>
      </c>
      <c r="AN242" s="529">
        <f t="shared" si="330"/>
        <v>20</v>
      </c>
      <c r="AO242" s="529">
        <f t="shared" si="331"/>
        <v>0</v>
      </c>
      <c r="AP242" s="529">
        <f t="shared" si="332"/>
        <v>0</v>
      </c>
      <c r="AQ242" s="530">
        <f t="shared" si="348"/>
        <v>0</v>
      </c>
      <c r="AR242" s="527" t="s">
        <v>3</v>
      </c>
      <c r="AS242" s="527">
        <f>IF(ISNA(VLOOKUP($I242,Veg_Parameters!$A$3:$N$65,8,FALSE)), 0, (VLOOKUP($I242,Veg_Parameters!$A$3:$N$65,8,FALSE)))</f>
        <v>0</v>
      </c>
      <c r="AT242" s="527">
        <f>AB242*(IF(ISNA(VLOOKUP($I242,Veg_Parameters!$A$3:$N$65,9,FALSE)), 0, (VLOOKUP($I242,Veg_Parameters!$A$3:$N$65,9,FALSE))))</f>
        <v>0</v>
      </c>
      <c r="AU242" s="527">
        <f>IF(ISBLANK(A242),0,VLOOKUP($I242,Veg_Parameters!$A$4:$U$65,21,))</f>
        <v>0</v>
      </c>
      <c r="AV242" s="527">
        <f t="shared" si="349"/>
        <v>0</v>
      </c>
      <c r="AW242" s="529">
        <f t="shared" si="350"/>
        <v>0</v>
      </c>
      <c r="AX242" s="529">
        <f t="shared" si="351"/>
        <v>0</v>
      </c>
      <c r="AY242" s="529">
        <f t="shared" si="333"/>
        <v>0</v>
      </c>
      <c r="AZ242" s="529">
        <f t="shared" si="352"/>
        <v>0</v>
      </c>
      <c r="BA242" s="529">
        <f t="shared" si="353"/>
        <v>0</v>
      </c>
      <c r="BB242" s="529">
        <f t="shared" si="354"/>
        <v>0</v>
      </c>
      <c r="BC242" s="529">
        <f t="shared" si="334"/>
        <v>0</v>
      </c>
      <c r="BD242" s="531"/>
      <c r="BE242" s="527">
        <f>AH242*(IF(ISNA(VLOOKUP($N242,Veg_Parameters!$A$3:$N$65,5,FALSE)),0,(VLOOKUP($N242,Veg_Parameters!$A$3:$N$65,5,FALSE))))</f>
        <v>0</v>
      </c>
      <c r="BF242" s="527">
        <f>IF(ISNA(VLOOKUP($N242,Veg_Parameters!$A$3:$N$65,4,FALSE)),0,(VLOOKUP($N242,Veg_Parameters!$A$3:$N$65,4,FALSE)))</f>
        <v>0</v>
      </c>
      <c r="BG242" s="527">
        <f>AH242*(IF(ISNA(VLOOKUP($N242,Veg_Parameters!$A$3:$N$65,7,FALSE)),0, (VLOOKUP($N242,Veg_Parameters!$A$3:$N$65,7,FALSE))))</f>
        <v>0</v>
      </c>
      <c r="BH242" s="527">
        <f>IF(ISNA(VLOOKUP($N242,Veg_Parameters!$A$3:$N$65,6,FALSE)), 0, (VLOOKUP($N242,Veg_Parameters!$A$3:$N$65,6,FALSE)))</f>
        <v>0</v>
      </c>
      <c r="BI242" s="529">
        <f t="shared" si="335"/>
        <v>20</v>
      </c>
      <c r="BJ242" s="529">
        <f t="shared" si="355"/>
        <v>0</v>
      </c>
      <c r="BK242" s="529">
        <f t="shared" si="336"/>
        <v>0</v>
      </c>
      <c r="BL242" s="530">
        <f t="shared" si="356"/>
        <v>0</v>
      </c>
      <c r="BM242" s="527" t="s">
        <v>3</v>
      </c>
      <c r="BN242" s="527">
        <f>IF(ISNA(VLOOKUP(N242,Veg_Parameters!$A$3:$N$65,8,FALSE)), 0, (VLOOKUP($N242,Veg_Parameters!$A$3:$N$65,8,FALSE)))</f>
        <v>0</v>
      </c>
      <c r="BO242" s="527">
        <f>AH242*(IF(ISNA(VLOOKUP($N242,Veg_Parameters!$A$3:$N$65,9,FALSE)), 0, (VLOOKUP($N242,Veg_Parameters!$A$3:$N$65,9,FALSE))))</f>
        <v>0</v>
      </c>
      <c r="BP242" s="527" t="str">
        <f>IF(ISBLANK(N242),"0",VLOOKUP($N242,Veg_Parameters!$A$4:$U$65,21,))</f>
        <v>0</v>
      </c>
      <c r="BQ242" s="529">
        <f t="shared" si="357"/>
        <v>0</v>
      </c>
      <c r="BR242" s="529">
        <f t="shared" si="358"/>
        <v>0</v>
      </c>
      <c r="BS242" s="529">
        <f t="shared" si="337"/>
        <v>0</v>
      </c>
      <c r="BT242" s="529">
        <f t="shared" si="359"/>
        <v>0</v>
      </c>
      <c r="BU242" s="529">
        <f t="shared" si="360"/>
        <v>0</v>
      </c>
      <c r="BV242" s="529">
        <f t="shared" si="361"/>
        <v>0</v>
      </c>
      <c r="BW242" s="532" t="str">
        <f t="shared" si="338"/>
        <v/>
      </c>
      <c r="BX242" s="532" t="str">
        <f t="shared" si="339"/>
        <v/>
      </c>
      <c r="BY242" s="532" t="str">
        <f t="shared" si="340"/>
        <v/>
      </c>
      <c r="BZ242" s="532" t="str">
        <f t="shared" si="341"/>
        <v/>
      </c>
      <c r="CA242" s="532">
        <f t="shared" si="342"/>
        <v>0</v>
      </c>
      <c r="CB242" s="533"/>
      <c r="CC242" s="624">
        <f t="shared" si="343"/>
        <v>0</v>
      </c>
      <c r="CD242" s="534">
        <f t="shared" si="344"/>
        <v>0</v>
      </c>
      <c r="CE242" s="534">
        <f t="shared" si="345"/>
        <v>0</v>
      </c>
      <c r="CF242" s="534">
        <f t="shared" si="346"/>
        <v>0</v>
      </c>
      <c r="CG242" s="534"/>
      <c r="CH242" s="534"/>
      <c r="CI242" s="534">
        <f t="shared" si="362"/>
        <v>0</v>
      </c>
      <c r="CL242" s="534">
        <f>IF(ISNA(VLOOKUP(I242,Veg_Parameters!$A$3:$N$65,13,FALSE)),0,(VLOOKUP(I242,Veg_Parameters!$A$3:$N$65,13,FALSE)))</f>
        <v>0</v>
      </c>
      <c r="CM242" s="534">
        <f t="shared" si="363"/>
        <v>0</v>
      </c>
      <c r="CN242" s="534">
        <f>IF(ISNA(VLOOKUP(N242,Veg_Parameters!$A$3:$N$65,13,FALSE)),0,(VLOOKUP(N242,Veg_Parameters!$A$3:$N$65,13,FALSE)))</f>
        <v>0</v>
      </c>
      <c r="CO242" s="523">
        <f t="shared" si="364"/>
        <v>0</v>
      </c>
    </row>
    <row r="243" spans="1:93" x14ac:dyDescent="0.2">
      <c r="A243" s="227"/>
      <c r="B243" s="171" t="str">
        <f t="shared" si="365"/>
        <v/>
      </c>
      <c r="C243" s="230"/>
      <c r="D243" s="169"/>
      <c r="E243" s="165"/>
      <c r="F243" s="165"/>
      <c r="G243" s="165"/>
      <c r="H243" s="165"/>
      <c r="I243" s="168"/>
      <c r="J243" s="167"/>
      <c r="K243" s="168"/>
      <c r="L243" s="167"/>
      <c r="M243" s="167"/>
      <c r="N243" s="168"/>
      <c r="O243" s="168"/>
      <c r="P243" s="167"/>
      <c r="Q243" s="167"/>
      <c r="R243" s="167"/>
      <c r="S243" s="222" t="str">
        <f>IF(ISBLANK(A243),"",IF(ISNA(VLOOKUP(I243,Veg_Parameters!$A$3:$N$65,3,FALSE)),0,(VLOOKUP(I243,Veg_Parameters!$A$3:$N$65,3,FALSE))))</f>
        <v/>
      </c>
      <c r="T243" s="222" t="str">
        <f>IF(ISBLANK(N243),"",IF(ISNA(VLOOKUP(N243,Veg_Parameters!$A$3:$N$65,3,FALSE)),0,(VLOOKUP(N243,Veg_Parameters!$A$3:$N$65,3,FALSE))))</f>
        <v/>
      </c>
      <c r="U243" s="523">
        <f t="shared" si="347"/>
        <v>0</v>
      </c>
      <c r="V243" s="523">
        <f t="shared" si="323"/>
        <v>0</v>
      </c>
      <c r="W243" s="524">
        <f>IF(ISBLANK(A243),0,IF(ISNA(VLOOKUP($I243,Veg_Parameters!$A$3:$N$65,10,FALSE)),0,(VLOOKUP($I243,Veg_Parameters!$A$3:$N$65,10,FALSE))))</f>
        <v>0</v>
      </c>
      <c r="X243" s="524">
        <f>IF(ISBLANK(A243),0,IF(ISNA(VLOOKUP($I243,Veg_Parameters!$A$3:$N$65,11,FALSE)),0,(VLOOKUP($I243,Veg_Parameters!$A$3:$N$65,11,FALSE))))</f>
        <v>0</v>
      </c>
      <c r="Y243" s="524">
        <f>IF(ISBLANK(A243),0,IF(ISNA(VLOOKUP($I243,Veg_Parameters!$A$3:$N$65,12,FALSE)),0,(VLOOKUP($I243,Veg_Parameters!$A$3:$N$65,12,FALSE))))</f>
        <v>0</v>
      </c>
      <c r="Z243" s="525">
        <f t="shared" si="324"/>
        <v>0</v>
      </c>
      <c r="AA243" s="525">
        <f t="shared" si="325"/>
        <v>0</v>
      </c>
      <c r="AB243" s="525">
        <f t="shared" si="326"/>
        <v>0</v>
      </c>
      <c r="AC243" s="524">
        <f>IF(ISBLANK(N243),0,IF(ISNA(VLOOKUP($N243,Veg_Parameters!$A$3:$N$65,10,FALSE)),0,(VLOOKUP($N243,Veg_Parameters!$A$3:$N$65,10,FALSE))))</f>
        <v>0</v>
      </c>
      <c r="AD243" s="524">
        <f>IF(ISBLANK(N243),0,IF(ISNA(VLOOKUP($N243,Veg_Parameters!$A$3:$N$65,11,FALSE)),0,(VLOOKUP($N243,Veg_Parameters!$A$3:$N$65,11,FALSE))))</f>
        <v>0</v>
      </c>
      <c r="AE243" s="524">
        <f>IF(ISBLANK(N243), 0, IF(ISNA(VLOOKUP($N243,Veg_Parameters!$A$3:$N$65,12,FALSE)),0,(VLOOKUP($N243,Veg_Parameters!$A$3:$N$65,12,FALSE))))</f>
        <v>0</v>
      </c>
      <c r="AF243" s="523">
        <f t="shared" si="327"/>
        <v>0</v>
      </c>
      <c r="AG243" s="523">
        <f t="shared" si="328"/>
        <v>0</v>
      </c>
      <c r="AH243" s="523">
        <f t="shared" si="329"/>
        <v>0</v>
      </c>
      <c r="AI243" s="526"/>
      <c r="AJ243" s="527">
        <f>AB243*(IF(ISNA(VLOOKUP($I243,Veg_Parameters!$A$3:$N$65,5,FALSE)),0,(VLOOKUP($I243,Veg_Parameters!$A$3:$N$65,5,FALSE))))</f>
        <v>0</v>
      </c>
      <c r="AK243" s="527">
        <f>IF(ISNA(VLOOKUP($I243,Veg_Parameters!$A$3:$N$65,4,FALSE)),0,(VLOOKUP($I243,Veg_Parameters!$A$3:$N$65,4,FALSE)))</f>
        <v>0</v>
      </c>
      <c r="AL243" s="527">
        <f>AB243*(IF(ISNA(VLOOKUP($I243,Veg_Parameters!$A$3:$N$65,7,FALSE)),0, (VLOOKUP($I243,Veg_Parameters!$A$3:$N$65,7,FALSE))))</f>
        <v>0</v>
      </c>
      <c r="AM243" s="528">
        <f>IF(ISNA(VLOOKUP($I243,Veg_Parameters!$A$3:$N$65,6,FALSE)), 0, (VLOOKUP($I243,Veg_Parameters!$A$3:$N$65,6,FALSE)))</f>
        <v>0</v>
      </c>
      <c r="AN243" s="529">
        <f t="shared" si="330"/>
        <v>20</v>
      </c>
      <c r="AO243" s="529">
        <f t="shared" si="331"/>
        <v>0</v>
      </c>
      <c r="AP243" s="529">
        <f t="shared" si="332"/>
        <v>0</v>
      </c>
      <c r="AQ243" s="530">
        <f t="shared" si="348"/>
        <v>0</v>
      </c>
      <c r="AR243" s="527" t="s">
        <v>3</v>
      </c>
      <c r="AS243" s="527">
        <f>IF(ISNA(VLOOKUP($I243,Veg_Parameters!$A$3:$N$65,8,FALSE)), 0, (VLOOKUP($I243,Veg_Parameters!$A$3:$N$65,8,FALSE)))</f>
        <v>0</v>
      </c>
      <c r="AT243" s="527">
        <f>AB243*(IF(ISNA(VLOOKUP($I243,Veg_Parameters!$A$3:$N$65,9,FALSE)), 0, (VLOOKUP($I243,Veg_Parameters!$A$3:$N$65,9,FALSE))))</f>
        <v>0</v>
      </c>
      <c r="AU243" s="527">
        <f>IF(ISBLANK(A243),0,VLOOKUP($I243,Veg_Parameters!$A$4:$U$65,21,))</f>
        <v>0</v>
      </c>
      <c r="AV243" s="527">
        <f t="shared" si="349"/>
        <v>0</v>
      </c>
      <c r="AW243" s="529">
        <f t="shared" si="350"/>
        <v>0</v>
      </c>
      <c r="AX243" s="529">
        <f t="shared" si="351"/>
        <v>0</v>
      </c>
      <c r="AY243" s="529">
        <f t="shared" si="333"/>
        <v>0</v>
      </c>
      <c r="AZ243" s="529">
        <f t="shared" si="352"/>
        <v>0</v>
      </c>
      <c r="BA243" s="529">
        <f t="shared" si="353"/>
        <v>0</v>
      </c>
      <c r="BB243" s="529">
        <f t="shared" si="354"/>
        <v>0</v>
      </c>
      <c r="BC243" s="529">
        <f t="shared" si="334"/>
        <v>0</v>
      </c>
      <c r="BD243" s="531"/>
      <c r="BE243" s="527">
        <f>AH243*(IF(ISNA(VLOOKUP($N243,Veg_Parameters!$A$3:$N$65,5,FALSE)),0,(VLOOKUP($N243,Veg_Parameters!$A$3:$N$65,5,FALSE))))</f>
        <v>0</v>
      </c>
      <c r="BF243" s="527">
        <f>IF(ISNA(VLOOKUP($N243,Veg_Parameters!$A$3:$N$65,4,FALSE)),0,(VLOOKUP($N243,Veg_Parameters!$A$3:$N$65,4,FALSE)))</f>
        <v>0</v>
      </c>
      <c r="BG243" s="527">
        <f>AH243*(IF(ISNA(VLOOKUP($N243,Veg_Parameters!$A$3:$N$65,7,FALSE)),0, (VLOOKUP($N243,Veg_Parameters!$A$3:$N$65,7,FALSE))))</f>
        <v>0</v>
      </c>
      <c r="BH243" s="527">
        <f>IF(ISNA(VLOOKUP($N243,Veg_Parameters!$A$3:$N$65,6,FALSE)), 0, (VLOOKUP($N243,Veg_Parameters!$A$3:$N$65,6,FALSE)))</f>
        <v>0</v>
      </c>
      <c r="BI243" s="529">
        <f t="shared" si="335"/>
        <v>20</v>
      </c>
      <c r="BJ243" s="529">
        <f t="shared" si="355"/>
        <v>0</v>
      </c>
      <c r="BK243" s="529">
        <f t="shared" si="336"/>
        <v>0</v>
      </c>
      <c r="BL243" s="530">
        <f t="shared" si="356"/>
        <v>0</v>
      </c>
      <c r="BM243" s="527" t="s">
        <v>3</v>
      </c>
      <c r="BN243" s="527">
        <f>IF(ISNA(VLOOKUP(N243,Veg_Parameters!$A$3:$N$65,8,FALSE)), 0, (VLOOKUP($N243,Veg_Parameters!$A$3:$N$65,8,FALSE)))</f>
        <v>0</v>
      </c>
      <c r="BO243" s="527">
        <f>AH243*(IF(ISNA(VLOOKUP($N243,Veg_Parameters!$A$3:$N$65,9,FALSE)), 0, (VLOOKUP($N243,Veg_Parameters!$A$3:$N$65,9,FALSE))))</f>
        <v>0</v>
      </c>
      <c r="BP243" s="527" t="str">
        <f>IF(ISBLANK(N243),"0",VLOOKUP($N243,Veg_Parameters!$A$4:$U$65,21,))</f>
        <v>0</v>
      </c>
      <c r="BQ243" s="529">
        <f t="shared" si="357"/>
        <v>0</v>
      </c>
      <c r="BR243" s="529">
        <f t="shared" si="358"/>
        <v>0</v>
      </c>
      <c r="BS243" s="529">
        <f t="shared" si="337"/>
        <v>0</v>
      </c>
      <c r="BT243" s="529">
        <f t="shared" si="359"/>
        <v>0</v>
      </c>
      <c r="BU243" s="529">
        <f t="shared" si="360"/>
        <v>0</v>
      </c>
      <c r="BV243" s="529">
        <f t="shared" si="361"/>
        <v>0</v>
      </c>
      <c r="BW243" s="532" t="str">
        <f t="shared" si="338"/>
        <v/>
      </c>
      <c r="BX243" s="532" t="str">
        <f t="shared" si="339"/>
        <v/>
      </c>
      <c r="BY243" s="532" t="str">
        <f t="shared" si="340"/>
        <v/>
      </c>
      <c r="BZ243" s="532" t="str">
        <f t="shared" si="341"/>
        <v/>
      </c>
      <c r="CA243" s="532">
        <f t="shared" si="342"/>
        <v>0</v>
      </c>
      <c r="CB243" s="533"/>
      <c r="CC243" s="624">
        <f t="shared" si="343"/>
        <v>0</v>
      </c>
      <c r="CD243" s="534">
        <f t="shared" si="344"/>
        <v>0</v>
      </c>
      <c r="CE243" s="534">
        <f t="shared" si="345"/>
        <v>0</v>
      </c>
      <c r="CF243" s="534">
        <f t="shared" si="346"/>
        <v>0</v>
      </c>
      <c r="CG243" s="534"/>
      <c r="CH243" s="534"/>
      <c r="CI243" s="534">
        <f t="shared" si="362"/>
        <v>0</v>
      </c>
      <c r="CL243" s="534">
        <f>IF(ISNA(VLOOKUP(I243,Veg_Parameters!$A$3:$N$65,13,FALSE)),0,(VLOOKUP(I243,Veg_Parameters!$A$3:$N$65,13,FALSE)))</f>
        <v>0</v>
      </c>
      <c r="CM243" s="534">
        <f t="shared" si="363"/>
        <v>0</v>
      </c>
      <c r="CN243" s="534">
        <f>IF(ISNA(VLOOKUP(N243,Veg_Parameters!$A$3:$N$65,13,FALSE)),0,(VLOOKUP(N243,Veg_Parameters!$A$3:$N$65,13,FALSE)))</f>
        <v>0</v>
      </c>
      <c r="CO243" s="523">
        <f t="shared" si="364"/>
        <v>0</v>
      </c>
    </row>
    <row r="244" spans="1:93" x14ac:dyDescent="0.2">
      <c r="A244" s="227"/>
      <c r="B244" s="171" t="str">
        <f t="shared" si="365"/>
        <v/>
      </c>
      <c r="C244" s="230"/>
      <c r="D244" s="169"/>
      <c r="E244" s="165"/>
      <c r="F244" s="165"/>
      <c r="G244" s="165"/>
      <c r="H244" s="165"/>
      <c r="I244" s="168"/>
      <c r="J244" s="167"/>
      <c r="K244" s="168"/>
      <c r="L244" s="167"/>
      <c r="M244" s="167"/>
      <c r="N244" s="168"/>
      <c r="O244" s="168"/>
      <c r="P244" s="167"/>
      <c r="Q244" s="167"/>
      <c r="R244" s="167"/>
      <c r="S244" s="222" t="str">
        <f>IF(ISBLANK(A244),"",IF(ISNA(VLOOKUP(I244,Veg_Parameters!$A$3:$N$65,3,FALSE)),0,(VLOOKUP(I244,Veg_Parameters!$A$3:$N$65,3,FALSE))))</f>
        <v/>
      </c>
      <c r="T244" s="222" t="str">
        <f>IF(ISBLANK(N244),"",IF(ISNA(VLOOKUP(N244,Veg_Parameters!$A$3:$N$65,3,FALSE)),0,(VLOOKUP(N244,Veg_Parameters!$A$3:$N$65,3,FALSE))))</f>
        <v/>
      </c>
      <c r="U244" s="523">
        <f t="shared" si="347"/>
        <v>0</v>
      </c>
      <c r="V244" s="523">
        <f t="shared" si="323"/>
        <v>0</v>
      </c>
      <c r="W244" s="524">
        <f>IF(ISBLANK(A244),0,IF(ISNA(VLOOKUP($I244,Veg_Parameters!$A$3:$N$65,10,FALSE)),0,(VLOOKUP($I244,Veg_Parameters!$A$3:$N$65,10,FALSE))))</f>
        <v>0</v>
      </c>
      <c r="X244" s="524">
        <f>IF(ISBLANK(A244),0,IF(ISNA(VLOOKUP($I244,Veg_Parameters!$A$3:$N$65,11,FALSE)),0,(VLOOKUP($I244,Veg_Parameters!$A$3:$N$65,11,FALSE))))</f>
        <v>0</v>
      </c>
      <c r="Y244" s="524">
        <f>IF(ISBLANK(A244),0,IF(ISNA(VLOOKUP($I244,Veg_Parameters!$A$3:$N$65,12,FALSE)),0,(VLOOKUP($I244,Veg_Parameters!$A$3:$N$65,12,FALSE))))</f>
        <v>0</v>
      </c>
      <c r="Z244" s="525">
        <f t="shared" si="324"/>
        <v>0</v>
      </c>
      <c r="AA244" s="525">
        <f t="shared" si="325"/>
        <v>0</v>
      </c>
      <c r="AB244" s="525">
        <f t="shared" si="326"/>
        <v>0</v>
      </c>
      <c r="AC244" s="524">
        <f>IF(ISBLANK(N244),0,IF(ISNA(VLOOKUP($N244,Veg_Parameters!$A$3:$N$65,10,FALSE)),0,(VLOOKUP($N244,Veg_Parameters!$A$3:$N$65,10,FALSE))))</f>
        <v>0</v>
      </c>
      <c r="AD244" s="524">
        <f>IF(ISBLANK(N244),0,IF(ISNA(VLOOKUP($N244,Veg_Parameters!$A$3:$N$65,11,FALSE)),0,(VLOOKUP($N244,Veg_Parameters!$A$3:$N$65,11,FALSE))))</f>
        <v>0</v>
      </c>
      <c r="AE244" s="524">
        <f>IF(ISBLANK(N244), 0, IF(ISNA(VLOOKUP($N244,Veg_Parameters!$A$3:$N$65,12,FALSE)),0,(VLOOKUP($N244,Veg_Parameters!$A$3:$N$65,12,FALSE))))</f>
        <v>0</v>
      </c>
      <c r="AF244" s="523">
        <f t="shared" si="327"/>
        <v>0</v>
      </c>
      <c r="AG244" s="523">
        <f t="shared" si="328"/>
        <v>0</v>
      </c>
      <c r="AH244" s="523">
        <f t="shared" si="329"/>
        <v>0</v>
      </c>
      <c r="AI244" s="526"/>
      <c r="AJ244" s="527">
        <f>AB244*(IF(ISNA(VLOOKUP($I244,Veg_Parameters!$A$3:$N$65,5,FALSE)),0,(VLOOKUP($I244,Veg_Parameters!$A$3:$N$65,5,FALSE))))</f>
        <v>0</v>
      </c>
      <c r="AK244" s="527">
        <f>IF(ISNA(VLOOKUP($I244,Veg_Parameters!$A$3:$N$65,4,FALSE)),0,(VLOOKUP($I244,Veg_Parameters!$A$3:$N$65,4,FALSE)))</f>
        <v>0</v>
      </c>
      <c r="AL244" s="527">
        <f>AB244*(IF(ISNA(VLOOKUP($I244,Veg_Parameters!$A$3:$N$65,7,FALSE)),0, (VLOOKUP($I244,Veg_Parameters!$A$3:$N$65,7,FALSE))))</f>
        <v>0</v>
      </c>
      <c r="AM244" s="528">
        <f>IF(ISNA(VLOOKUP($I244,Veg_Parameters!$A$3:$N$65,6,FALSE)), 0, (VLOOKUP($I244,Veg_Parameters!$A$3:$N$65,6,FALSE)))</f>
        <v>0</v>
      </c>
      <c r="AN244" s="529">
        <f t="shared" si="330"/>
        <v>20</v>
      </c>
      <c r="AO244" s="529">
        <f t="shared" si="331"/>
        <v>0</v>
      </c>
      <c r="AP244" s="529">
        <f t="shared" si="332"/>
        <v>0</v>
      </c>
      <c r="AQ244" s="530">
        <f t="shared" si="348"/>
        <v>0</v>
      </c>
      <c r="AR244" s="527" t="s">
        <v>3</v>
      </c>
      <c r="AS244" s="527">
        <f>IF(ISNA(VLOOKUP($I244,Veg_Parameters!$A$3:$N$65,8,FALSE)), 0, (VLOOKUP($I244,Veg_Parameters!$A$3:$N$65,8,FALSE)))</f>
        <v>0</v>
      </c>
      <c r="AT244" s="527">
        <f>AB244*(IF(ISNA(VLOOKUP($I244,Veg_Parameters!$A$3:$N$65,9,FALSE)), 0, (VLOOKUP($I244,Veg_Parameters!$A$3:$N$65,9,FALSE))))</f>
        <v>0</v>
      </c>
      <c r="AU244" s="527">
        <f>IF(ISBLANK(A244),0,VLOOKUP($I244,Veg_Parameters!$A$4:$U$65,21,))</f>
        <v>0</v>
      </c>
      <c r="AV244" s="527">
        <f t="shared" si="349"/>
        <v>0</v>
      </c>
      <c r="AW244" s="529">
        <f t="shared" si="350"/>
        <v>0</v>
      </c>
      <c r="AX244" s="529">
        <f t="shared" si="351"/>
        <v>0</v>
      </c>
      <c r="AY244" s="529">
        <f t="shared" si="333"/>
        <v>0</v>
      </c>
      <c r="AZ244" s="529">
        <f t="shared" si="352"/>
        <v>0</v>
      </c>
      <c r="BA244" s="529">
        <f t="shared" si="353"/>
        <v>0</v>
      </c>
      <c r="BB244" s="529">
        <f t="shared" si="354"/>
        <v>0</v>
      </c>
      <c r="BC244" s="529">
        <f t="shared" si="334"/>
        <v>0</v>
      </c>
      <c r="BD244" s="531"/>
      <c r="BE244" s="527">
        <f>AH244*(IF(ISNA(VLOOKUP($N244,Veg_Parameters!$A$3:$N$65,5,FALSE)),0,(VLOOKUP($N244,Veg_Parameters!$A$3:$N$65,5,FALSE))))</f>
        <v>0</v>
      </c>
      <c r="BF244" s="527">
        <f>IF(ISNA(VLOOKUP($N244,Veg_Parameters!$A$3:$N$65,4,FALSE)),0,(VLOOKUP($N244,Veg_Parameters!$A$3:$N$65,4,FALSE)))</f>
        <v>0</v>
      </c>
      <c r="BG244" s="527">
        <f>AH244*(IF(ISNA(VLOOKUP($N244,Veg_Parameters!$A$3:$N$65,7,FALSE)),0, (VLOOKUP($N244,Veg_Parameters!$A$3:$N$65,7,FALSE))))</f>
        <v>0</v>
      </c>
      <c r="BH244" s="527">
        <f>IF(ISNA(VLOOKUP($N244,Veg_Parameters!$A$3:$N$65,6,FALSE)), 0, (VLOOKUP($N244,Veg_Parameters!$A$3:$N$65,6,FALSE)))</f>
        <v>0</v>
      </c>
      <c r="BI244" s="529">
        <f t="shared" si="335"/>
        <v>20</v>
      </c>
      <c r="BJ244" s="529">
        <f t="shared" si="355"/>
        <v>0</v>
      </c>
      <c r="BK244" s="529">
        <f t="shared" si="336"/>
        <v>0</v>
      </c>
      <c r="BL244" s="530">
        <f t="shared" si="356"/>
        <v>0</v>
      </c>
      <c r="BM244" s="527" t="s">
        <v>3</v>
      </c>
      <c r="BN244" s="527">
        <f>IF(ISNA(VLOOKUP(N244,Veg_Parameters!$A$3:$N$65,8,FALSE)), 0, (VLOOKUP($N244,Veg_Parameters!$A$3:$N$65,8,FALSE)))</f>
        <v>0</v>
      </c>
      <c r="BO244" s="527">
        <f>AH244*(IF(ISNA(VLOOKUP($N244,Veg_Parameters!$A$3:$N$65,9,FALSE)), 0, (VLOOKUP($N244,Veg_Parameters!$A$3:$N$65,9,FALSE))))</f>
        <v>0</v>
      </c>
      <c r="BP244" s="527" t="str">
        <f>IF(ISBLANK(N244),"0",VLOOKUP($N244,Veg_Parameters!$A$4:$U$65,21,))</f>
        <v>0</v>
      </c>
      <c r="BQ244" s="529">
        <f t="shared" si="357"/>
        <v>0</v>
      </c>
      <c r="BR244" s="529">
        <f t="shared" si="358"/>
        <v>0</v>
      </c>
      <c r="BS244" s="529">
        <f t="shared" si="337"/>
        <v>0</v>
      </c>
      <c r="BT244" s="529">
        <f t="shared" si="359"/>
        <v>0</v>
      </c>
      <c r="BU244" s="529">
        <f t="shared" si="360"/>
        <v>0</v>
      </c>
      <c r="BV244" s="529">
        <f t="shared" si="361"/>
        <v>0</v>
      </c>
      <c r="BW244" s="532" t="str">
        <f t="shared" si="338"/>
        <v/>
      </c>
      <c r="BX244" s="532" t="str">
        <f t="shared" si="339"/>
        <v/>
      </c>
      <c r="BY244" s="532" t="str">
        <f t="shared" si="340"/>
        <v/>
      </c>
      <c r="BZ244" s="532" t="str">
        <f t="shared" si="341"/>
        <v/>
      </c>
      <c r="CA244" s="532">
        <f t="shared" si="342"/>
        <v>0</v>
      </c>
      <c r="CB244" s="533"/>
      <c r="CC244" s="624">
        <f t="shared" si="343"/>
        <v>0</v>
      </c>
      <c r="CD244" s="534">
        <f t="shared" si="344"/>
        <v>0</v>
      </c>
      <c r="CE244" s="534">
        <f t="shared" si="345"/>
        <v>0</v>
      </c>
      <c r="CF244" s="534">
        <f t="shared" si="346"/>
        <v>0</v>
      </c>
      <c r="CG244" s="534"/>
      <c r="CH244" s="534"/>
      <c r="CI244" s="534">
        <f t="shared" si="362"/>
        <v>0</v>
      </c>
      <c r="CL244" s="534">
        <f>IF(ISNA(VLOOKUP(I244,Veg_Parameters!$A$3:$N$65,13,FALSE)),0,(VLOOKUP(I244,Veg_Parameters!$A$3:$N$65,13,FALSE)))</f>
        <v>0</v>
      </c>
      <c r="CM244" s="534">
        <f t="shared" si="363"/>
        <v>0</v>
      </c>
      <c r="CN244" s="534">
        <f>IF(ISNA(VLOOKUP(N244,Veg_Parameters!$A$3:$N$65,13,FALSE)),0,(VLOOKUP(N244,Veg_Parameters!$A$3:$N$65,13,FALSE)))</f>
        <v>0</v>
      </c>
      <c r="CO244" s="523">
        <f t="shared" si="364"/>
        <v>0</v>
      </c>
    </row>
    <row r="245" spans="1:93" x14ac:dyDescent="0.2">
      <c r="A245" s="227"/>
      <c r="B245" s="171" t="str">
        <f t="shared" si="365"/>
        <v/>
      </c>
      <c r="C245" s="230"/>
      <c r="D245" s="169"/>
      <c r="E245" s="165"/>
      <c r="F245" s="165"/>
      <c r="G245" s="165"/>
      <c r="H245" s="165"/>
      <c r="I245" s="168"/>
      <c r="J245" s="167"/>
      <c r="K245" s="168"/>
      <c r="L245" s="167"/>
      <c r="M245" s="167"/>
      <c r="N245" s="168"/>
      <c r="O245" s="168"/>
      <c r="P245" s="167"/>
      <c r="Q245" s="167"/>
      <c r="R245" s="167"/>
      <c r="S245" s="222" t="str">
        <f>IF(ISBLANK(A245),"",IF(ISNA(VLOOKUP(I245,Veg_Parameters!$A$3:$N$65,3,FALSE)),0,(VLOOKUP(I245,Veg_Parameters!$A$3:$N$65,3,FALSE))))</f>
        <v/>
      </c>
      <c r="T245" s="222" t="str">
        <f>IF(ISBLANK(N245),"",IF(ISNA(VLOOKUP(N245,Veg_Parameters!$A$3:$N$65,3,FALSE)),0,(VLOOKUP(N245,Veg_Parameters!$A$3:$N$65,3,FALSE))))</f>
        <v/>
      </c>
      <c r="U245" s="523">
        <f t="shared" si="347"/>
        <v>0</v>
      </c>
      <c r="V245" s="523">
        <f t="shared" si="323"/>
        <v>0</v>
      </c>
      <c r="W245" s="524">
        <f>IF(ISBLANK(A245),0,IF(ISNA(VLOOKUP($I245,Veg_Parameters!$A$3:$N$65,10,FALSE)),0,(VLOOKUP($I245,Veg_Parameters!$A$3:$N$65,10,FALSE))))</f>
        <v>0</v>
      </c>
      <c r="X245" s="524">
        <f>IF(ISBLANK(A245),0,IF(ISNA(VLOOKUP($I245,Veg_Parameters!$A$3:$N$65,11,FALSE)),0,(VLOOKUP($I245,Veg_Parameters!$A$3:$N$65,11,FALSE))))</f>
        <v>0</v>
      </c>
      <c r="Y245" s="524">
        <f>IF(ISBLANK(A245),0,IF(ISNA(VLOOKUP($I245,Veg_Parameters!$A$3:$N$65,12,FALSE)),0,(VLOOKUP($I245,Veg_Parameters!$A$3:$N$65,12,FALSE))))</f>
        <v>0</v>
      </c>
      <c r="Z245" s="525">
        <f t="shared" si="324"/>
        <v>0</v>
      </c>
      <c r="AA245" s="525">
        <f t="shared" si="325"/>
        <v>0</v>
      </c>
      <c r="AB245" s="525">
        <f t="shared" si="326"/>
        <v>0</v>
      </c>
      <c r="AC245" s="524">
        <f>IF(ISBLANK(N245),0,IF(ISNA(VLOOKUP($N245,Veg_Parameters!$A$3:$N$65,10,FALSE)),0,(VLOOKUP($N245,Veg_Parameters!$A$3:$N$65,10,FALSE))))</f>
        <v>0</v>
      </c>
      <c r="AD245" s="524">
        <f>IF(ISBLANK(N245),0,IF(ISNA(VLOOKUP($N245,Veg_Parameters!$A$3:$N$65,11,FALSE)),0,(VLOOKUP($N245,Veg_Parameters!$A$3:$N$65,11,FALSE))))</f>
        <v>0</v>
      </c>
      <c r="AE245" s="524">
        <f>IF(ISBLANK(N245), 0, IF(ISNA(VLOOKUP($N245,Veg_Parameters!$A$3:$N$65,12,FALSE)),0,(VLOOKUP($N245,Veg_Parameters!$A$3:$N$65,12,FALSE))))</f>
        <v>0</v>
      </c>
      <c r="AF245" s="523">
        <f t="shared" si="327"/>
        <v>0</v>
      </c>
      <c r="AG245" s="523">
        <f t="shared" si="328"/>
        <v>0</v>
      </c>
      <c r="AH245" s="523">
        <f t="shared" si="329"/>
        <v>0</v>
      </c>
      <c r="AI245" s="526"/>
      <c r="AJ245" s="527">
        <f>AB245*(IF(ISNA(VLOOKUP($I245,Veg_Parameters!$A$3:$N$65,5,FALSE)),0,(VLOOKUP($I245,Veg_Parameters!$A$3:$N$65,5,FALSE))))</f>
        <v>0</v>
      </c>
      <c r="AK245" s="527">
        <f>IF(ISNA(VLOOKUP($I245,Veg_Parameters!$A$3:$N$65,4,FALSE)),0,(VLOOKUP($I245,Veg_Parameters!$A$3:$N$65,4,FALSE)))</f>
        <v>0</v>
      </c>
      <c r="AL245" s="527">
        <f>AB245*(IF(ISNA(VLOOKUP($I245,Veg_Parameters!$A$3:$N$65,7,FALSE)),0, (VLOOKUP($I245,Veg_Parameters!$A$3:$N$65,7,FALSE))))</f>
        <v>0</v>
      </c>
      <c r="AM245" s="528">
        <f>IF(ISNA(VLOOKUP($I245,Veg_Parameters!$A$3:$N$65,6,FALSE)), 0, (VLOOKUP($I245,Veg_Parameters!$A$3:$N$65,6,FALSE)))</f>
        <v>0</v>
      </c>
      <c r="AN245" s="529">
        <f t="shared" si="330"/>
        <v>20</v>
      </c>
      <c r="AO245" s="529">
        <f t="shared" si="331"/>
        <v>0</v>
      </c>
      <c r="AP245" s="529">
        <f t="shared" si="332"/>
        <v>0</v>
      </c>
      <c r="AQ245" s="530">
        <f t="shared" si="348"/>
        <v>0</v>
      </c>
      <c r="AR245" s="527" t="s">
        <v>3</v>
      </c>
      <c r="AS245" s="527">
        <f>IF(ISNA(VLOOKUP($I245,Veg_Parameters!$A$3:$N$65,8,FALSE)), 0, (VLOOKUP($I245,Veg_Parameters!$A$3:$N$65,8,FALSE)))</f>
        <v>0</v>
      </c>
      <c r="AT245" s="527">
        <f>AB245*(IF(ISNA(VLOOKUP($I245,Veg_Parameters!$A$3:$N$65,9,FALSE)), 0, (VLOOKUP($I245,Veg_Parameters!$A$3:$N$65,9,FALSE))))</f>
        <v>0</v>
      </c>
      <c r="AU245" s="527">
        <f>IF(ISBLANK(A245),0,VLOOKUP($I245,Veg_Parameters!$A$4:$U$65,21,))</f>
        <v>0</v>
      </c>
      <c r="AV245" s="527">
        <f t="shared" si="349"/>
        <v>0</v>
      </c>
      <c r="AW245" s="529">
        <f t="shared" si="350"/>
        <v>0</v>
      </c>
      <c r="AX245" s="529">
        <f t="shared" si="351"/>
        <v>0</v>
      </c>
      <c r="AY245" s="529">
        <f t="shared" si="333"/>
        <v>0</v>
      </c>
      <c r="AZ245" s="529">
        <f t="shared" si="352"/>
        <v>0</v>
      </c>
      <c r="BA245" s="529">
        <f t="shared" si="353"/>
        <v>0</v>
      </c>
      <c r="BB245" s="529">
        <f t="shared" si="354"/>
        <v>0</v>
      </c>
      <c r="BC245" s="529">
        <f t="shared" si="334"/>
        <v>0</v>
      </c>
      <c r="BD245" s="531"/>
      <c r="BE245" s="527">
        <f>AH245*(IF(ISNA(VLOOKUP($N245,Veg_Parameters!$A$3:$N$65,5,FALSE)),0,(VLOOKUP($N245,Veg_Parameters!$A$3:$N$65,5,FALSE))))</f>
        <v>0</v>
      </c>
      <c r="BF245" s="527">
        <f>IF(ISNA(VLOOKUP($N245,Veg_Parameters!$A$3:$N$65,4,FALSE)),0,(VLOOKUP($N245,Veg_Parameters!$A$3:$N$65,4,FALSE)))</f>
        <v>0</v>
      </c>
      <c r="BG245" s="527">
        <f>AH245*(IF(ISNA(VLOOKUP($N245,Veg_Parameters!$A$3:$N$65,7,FALSE)),0, (VLOOKUP($N245,Veg_Parameters!$A$3:$N$65,7,FALSE))))</f>
        <v>0</v>
      </c>
      <c r="BH245" s="527">
        <f>IF(ISNA(VLOOKUP($N245,Veg_Parameters!$A$3:$N$65,6,FALSE)), 0, (VLOOKUP($N245,Veg_Parameters!$A$3:$N$65,6,FALSE)))</f>
        <v>0</v>
      </c>
      <c r="BI245" s="529">
        <f t="shared" si="335"/>
        <v>20</v>
      </c>
      <c r="BJ245" s="529">
        <f t="shared" si="355"/>
        <v>0</v>
      </c>
      <c r="BK245" s="529">
        <f t="shared" si="336"/>
        <v>0</v>
      </c>
      <c r="BL245" s="530">
        <f t="shared" si="356"/>
        <v>0</v>
      </c>
      <c r="BM245" s="527" t="s">
        <v>3</v>
      </c>
      <c r="BN245" s="527">
        <f>IF(ISNA(VLOOKUP(N245,Veg_Parameters!$A$3:$N$65,8,FALSE)), 0, (VLOOKUP($N245,Veg_Parameters!$A$3:$N$65,8,FALSE)))</f>
        <v>0</v>
      </c>
      <c r="BO245" s="527">
        <f>AH245*(IF(ISNA(VLOOKUP($N245,Veg_Parameters!$A$3:$N$65,9,FALSE)), 0, (VLOOKUP($N245,Veg_Parameters!$A$3:$N$65,9,FALSE))))</f>
        <v>0</v>
      </c>
      <c r="BP245" s="527" t="str">
        <f>IF(ISBLANK(N245),"0",VLOOKUP($N245,Veg_Parameters!$A$4:$U$65,21,))</f>
        <v>0</v>
      </c>
      <c r="BQ245" s="529">
        <f t="shared" si="357"/>
        <v>0</v>
      </c>
      <c r="BR245" s="529">
        <f t="shared" si="358"/>
        <v>0</v>
      </c>
      <c r="BS245" s="529">
        <f t="shared" si="337"/>
        <v>0</v>
      </c>
      <c r="BT245" s="529">
        <f t="shared" si="359"/>
        <v>0</v>
      </c>
      <c r="BU245" s="529">
        <f t="shared" si="360"/>
        <v>0</v>
      </c>
      <c r="BV245" s="529">
        <f t="shared" si="361"/>
        <v>0</v>
      </c>
      <c r="BW245" s="532" t="str">
        <f t="shared" si="338"/>
        <v/>
      </c>
      <c r="BX245" s="532" t="str">
        <f t="shared" si="339"/>
        <v/>
      </c>
      <c r="BY245" s="532" t="str">
        <f t="shared" si="340"/>
        <v/>
      </c>
      <c r="BZ245" s="532" t="str">
        <f t="shared" si="341"/>
        <v/>
      </c>
      <c r="CA245" s="532">
        <f t="shared" si="342"/>
        <v>0</v>
      </c>
      <c r="CB245" s="533"/>
      <c r="CC245" s="624">
        <f t="shared" si="343"/>
        <v>0</v>
      </c>
      <c r="CD245" s="534">
        <f t="shared" si="344"/>
        <v>0</v>
      </c>
      <c r="CE245" s="534">
        <f t="shared" si="345"/>
        <v>0</v>
      </c>
      <c r="CF245" s="534">
        <f t="shared" si="346"/>
        <v>0</v>
      </c>
      <c r="CG245" s="534"/>
      <c r="CH245" s="534"/>
      <c r="CI245" s="534">
        <f t="shared" si="362"/>
        <v>0</v>
      </c>
      <c r="CL245" s="534">
        <f>IF(ISNA(VLOOKUP(I245,Veg_Parameters!$A$3:$N$65,13,FALSE)),0,(VLOOKUP(I245,Veg_Parameters!$A$3:$N$65,13,FALSE)))</f>
        <v>0</v>
      </c>
      <c r="CM245" s="534">
        <f t="shared" si="363"/>
        <v>0</v>
      </c>
      <c r="CN245" s="534">
        <f>IF(ISNA(VLOOKUP(N245,Veg_Parameters!$A$3:$N$65,13,FALSE)),0,(VLOOKUP(N245,Veg_Parameters!$A$3:$N$65,13,FALSE)))</f>
        <v>0</v>
      </c>
      <c r="CO245" s="523">
        <f t="shared" si="364"/>
        <v>0</v>
      </c>
    </row>
    <row r="246" spans="1:93" x14ac:dyDescent="0.2">
      <c r="A246" s="227"/>
      <c r="B246" s="171" t="str">
        <f t="shared" si="365"/>
        <v/>
      </c>
      <c r="C246" s="230"/>
      <c r="D246" s="169"/>
      <c r="E246" s="165"/>
      <c r="F246" s="165"/>
      <c r="G246" s="165"/>
      <c r="H246" s="165"/>
      <c r="I246" s="168"/>
      <c r="J246" s="167"/>
      <c r="K246" s="168"/>
      <c r="L246" s="167"/>
      <c r="M246" s="167"/>
      <c r="N246" s="168"/>
      <c r="O246" s="168"/>
      <c r="P246" s="167"/>
      <c r="Q246" s="167"/>
      <c r="R246" s="167"/>
      <c r="S246" s="222" t="str">
        <f>IF(ISBLANK(A246),"",IF(ISNA(VLOOKUP(I246,Veg_Parameters!$A$3:$N$65,3,FALSE)),0,(VLOOKUP(I246,Veg_Parameters!$A$3:$N$65,3,FALSE))))</f>
        <v/>
      </c>
      <c r="T246" s="222" t="str">
        <f>IF(ISBLANK(N246),"",IF(ISNA(VLOOKUP(N246,Veg_Parameters!$A$3:$N$65,3,FALSE)),0,(VLOOKUP(N246,Veg_Parameters!$A$3:$N$65,3,FALSE))))</f>
        <v/>
      </c>
      <c r="U246" s="523">
        <f t="shared" si="347"/>
        <v>0</v>
      </c>
      <c r="V246" s="523">
        <f t="shared" si="323"/>
        <v>0</v>
      </c>
      <c r="W246" s="524">
        <f>IF(ISBLANK(A246),0,IF(ISNA(VLOOKUP($I246,Veg_Parameters!$A$3:$N$65,10,FALSE)),0,(VLOOKUP($I246,Veg_Parameters!$A$3:$N$65,10,FALSE))))</f>
        <v>0</v>
      </c>
      <c r="X246" s="524">
        <f>IF(ISBLANK(A246),0,IF(ISNA(VLOOKUP($I246,Veg_Parameters!$A$3:$N$65,11,FALSE)),0,(VLOOKUP($I246,Veg_Parameters!$A$3:$N$65,11,FALSE))))</f>
        <v>0</v>
      </c>
      <c r="Y246" s="524">
        <f>IF(ISBLANK(A246),0,IF(ISNA(VLOOKUP($I246,Veg_Parameters!$A$3:$N$65,12,FALSE)),0,(VLOOKUP($I246,Veg_Parameters!$A$3:$N$65,12,FALSE))))</f>
        <v>0</v>
      </c>
      <c r="Z246" s="525">
        <f t="shared" si="324"/>
        <v>0</v>
      </c>
      <c r="AA246" s="525">
        <f t="shared" si="325"/>
        <v>0</v>
      </c>
      <c r="AB246" s="525">
        <f t="shared" si="326"/>
        <v>0</v>
      </c>
      <c r="AC246" s="524">
        <f>IF(ISBLANK(N246),0,IF(ISNA(VLOOKUP($N246,Veg_Parameters!$A$3:$N$65,10,FALSE)),0,(VLOOKUP($N246,Veg_Parameters!$A$3:$N$65,10,FALSE))))</f>
        <v>0</v>
      </c>
      <c r="AD246" s="524">
        <f>IF(ISBLANK(N246),0,IF(ISNA(VLOOKUP($N246,Veg_Parameters!$A$3:$N$65,11,FALSE)),0,(VLOOKUP($N246,Veg_Parameters!$A$3:$N$65,11,FALSE))))</f>
        <v>0</v>
      </c>
      <c r="AE246" s="524">
        <f>IF(ISBLANK(N246), 0, IF(ISNA(VLOOKUP($N246,Veg_Parameters!$A$3:$N$65,12,FALSE)),0,(VLOOKUP($N246,Veg_Parameters!$A$3:$N$65,12,FALSE))))</f>
        <v>0</v>
      </c>
      <c r="AF246" s="523">
        <f t="shared" si="327"/>
        <v>0</v>
      </c>
      <c r="AG246" s="523">
        <f t="shared" si="328"/>
        <v>0</v>
      </c>
      <c r="AH246" s="523">
        <f t="shared" si="329"/>
        <v>0</v>
      </c>
      <c r="AI246" s="526"/>
      <c r="AJ246" s="527">
        <f>AB246*(IF(ISNA(VLOOKUP($I246,Veg_Parameters!$A$3:$N$65,5,FALSE)),0,(VLOOKUP($I246,Veg_Parameters!$A$3:$N$65,5,FALSE))))</f>
        <v>0</v>
      </c>
      <c r="AK246" s="527">
        <f>IF(ISNA(VLOOKUP($I246,Veg_Parameters!$A$3:$N$65,4,FALSE)),0,(VLOOKUP($I246,Veg_Parameters!$A$3:$N$65,4,FALSE)))</f>
        <v>0</v>
      </c>
      <c r="AL246" s="527">
        <f>AB246*(IF(ISNA(VLOOKUP($I246,Veg_Parameters!$A$3:$N$65,7,FALSE)),0, (VLOOKUP($I246,Veg_Parameters!$A$3:$N$65,7,FALSE))))</f>
        <v>0</v>
      </c>
      <c r="AM246" s="528">
        <f>IF(ISNA(VLOOKUP($I246,Veg_Parameters!$A$3:$N$65,6,FALSE)), 0, (VLOOKUP($I246,Veg_Parameters!$A$3:$N$65,6,FALSE)))</f>
        <v>0</v>
      </c>
      <c r="AN246" s="529">
        <f t="shared" si="330"/>
        <v>20</v>
      </c>
      <c r="AO246" s="529">
        <f t="shared" si="331"/>
        <v>0</v>
      </c>
      <c r="AP246" s="529">
        <f t="shared" si="332"/>
        <v>0</v>
      </c>
      <c r="AQ246" s="530">
        <f t="shared" si="348"/>
        <v>0</v>
      </c>
      <c r="AR246" s="527" t="s">
        <v>3</v>
      </c>
      <c r="AS246" s="527">
        <f>IF(ISNA(VLOOKUP($I246,Veg_Parameters!$A$3:$N$65,8,FALSE)), 0, (VLOOKUP($I246,Veg_Parameters!$A$3:$N$65,8,FALSE)))</f>
        <v>0</v>
      </c>
      <c r="AT246" s="527">
        <f>AB246*(IF(ISNA(VLOOKUP($I246,Veg_Parameters!$A$3:$N$65,9,FALSE)), 0, (VLOOKUP($I246,Veg_Parameters!$A$3:$N$65,9,FALSE))))</f>
        <v>0</v>
      </c>
      <c r="AU246" s="527">
        <f>IF(ISBLANK(A246),0,VLOOKUP($I246,Veg_Parameters!$A$4:$U$65,21,))</f>
        <v>0</v>
      </c>
      <c r="AV246" s="527">
        <f t="shared" si="349"/>
        <v>0</v>
      </c>
      <c r="AW246" s="529">
        <f t="shared" si="350"/>
        <v>0</v>
      </c>
      <c r="AX246" s="529">
        <f t="shared" si="351"/>
        <v>0</v>
      </c>
      <c r="AY246" s="529">
        <f t="shared" si="333"/>
        <v>0</v>
      </c>
      <c r="AZ246" s="529">
        <f t="shared" si="352"/>
        <v>0</v>
      </c>
      <c r="BA246" s="529">
        <f t="shared" si="353"/>
        <v>0</v>
      </c>
      <c r="BB246" s="529">
        <f t="shared" si="354"/>
        <v>0</v>
      </c>
      <c r="BC246" s="529">
        <f t="shared" si="334"/>
        <v>0</v>
      </c>
      <c r="BD246" s="531"/>
      <c r="BE246" s="527">
        <f>AH246*(IF(ISNA(VLOOKUP($N246,Veg_Parameters!$A$3:$N$65,5,FALSE)),0,(VLOOKUP($N246,Veg_Parameters!$A$3:$N$65,5,FALSE))))</f>
        <v>0</v>
      </c>
      <c r="BF246" s="527">
        <f>IF(ISNA(VLOOKUP($N246,Veg_Parameters!$A$3:$N$65,4,FALSE)),0,(VLOOKUP($N246,Veg_Parameters!$A$3:$N$65,4,FALSE)))</f>
        <v>0</v>
      </c>
      <c r="BG246" s="527">
        <f>AH246*(IF(ISNA(VLOOKUP($N246,Veg_Parameters!$A$3:$N$65,7,FALSE)),0, (VLOOKUP($N246,Veg_Parameters!$A$3:$N$65,7,FALSE))))</f>
        <v>0</v>
      </c>
      <c r="BH246" s="527">
        <f>IF(ISNA(VLOOKUP($N246,Veg_Parameters!$A$3:$N$65,6,FALSE)), 0, (VLOOKUP($N246,Veg_Parameters!$A$3:$N$65,6,FALSE)))</f>
        <v>0</v>
      </c>
      <c r="BI246" s="529">
        <f t="shared" si="335"/>
        <v>20</v>
      </c>
      <c r="BJ246" s="529">
        <f t="shared" si="355"/>
        <v>0</v>
      </c>
      <c r="BK246" s="529">
        <f t="shared" si="336"/>
        <v>0</v>
      </c>
      <c r="BL246" s="530">
        <f t="shared" si="356"/>
        <v>0</v>
      </c>
      <c r="BM246" s="527" t="s">
        <v>3</v>
      </c>
      <c r="BN246" s="527">
        <f>IF(ISNA(VLOOKUP(N246,Veg_Parameters!$A$3:$N$65,8,FALSE)), 0, (VLOOKUP($N246,Veg_Parameters!$A$3:$N$65,8,FALSE)))</f>
        <v>0</v>
      </c>
      <c r="BO246" s="527">
        <f>AH246*(IF(ISNA(VLOOKUP($N246,Veg_Parameters!$A$3:$N$65,9,FALSE)), 0, (VLOOKUP($N246,Veg_Parameters!$A$3:$N$65,9,FALSE))))</f>
        <v>0</v>
      </c>
      <c r="BP246" s="527" t="str">
        <f>IF(ISBLANK(N246),"0",VLOOKUP($N246,Veg_Parameters!$A$4:$U$65,21,))</f>
        <v>0</v>
      </c>
      <c r="BQ246" s="529">
        <f t="shared" si="357"/>
        <v>0</v>
      </c>
      <c r="BR246" s="529">
        <f t="shared" si="358"/>
        <v>0</v>
      </c>
      <c r="BS246" s="529">
        <f t="shared" si="337"/>
        <v>0</v>
      </c>
      <c r="BT246" s="529">
        <f t="shared" si="359"/>
        <v>0</v>
      </c>
      <c r="BU246" s="529">
        <f t="shared" si="360"/>
        <v>0</v>
      </c>
      <c r="BV246" s="529">
        <f t="shared" si="361"/>
        <v>0</v>
      </c>
      <c r="BW246" s="532" t="str">
        <f t="shared" si="338"/>
        <v/>
      </c>
      <c r="BX246" s="532" t="str">
        <f t="shared" si="339"/>
        <v/>
      </c>
      <c r="BY246" s="532" t="str">
        <f t="shared" si="340"/>
        <v/>
      </c>
      <c r="BZ246" s="532" t="str">
        <f t="shared" si="341"/>
        <v/>
      </c>
      <c r="CA246" s="532">
        <f t="shared" si="342"/>
        <v>0</v>
      </c>
      <c r="CB246" s="533"/>
      <c r="CC246" s="624">
        <f t="shared" si="343"/>
        <v>0</v>
      </c>
      <c r="CD246" s="534">
        <f t="shared" si="344"/>
        <v>0</v>
      </c>
      <c r="CE246" s="534">
        <f t="shared" si="345"/>
        <v>0</v>
      </c>
      <c r="CF246" s="534">
        <f t="shared" si="346"/>
        <v>0</v>
      </c>
      <c r="CG246" s="534"/>
      <c r="CH246" s="534"/>
      <c r="CI246" s="534">
        <f t="shared" si="362"/>
        <v>0</v>
      </c>
      <c r="CL246" s="534">
        <f>IF(ISNA(VLOOKUP(I246,Veg_Parameters!$A$3:$N$65,13,FALSE)),0,(VLOOKUP(I246,Veg_Parameters!$A$3:$N$65,13,FALSE)))</f>
        <v>0</v>
      </c>
      <c r="CM246" s="534">
        <f t="shared" si="363"/>
        <v>0</v>
      </c>
      <c r="CN246" s="534">
        <f>IF(ISNA(VLOOKUP(N246,Veg_Parameters!$A$3:$N$65,13,FALSE)),0,(VLOOKUP(N246,Veg_Parameters!$A$3:$N$65,13,FALSE)))</f>
        <v>0</v>
      </c>
      <c r="CO246" s="523">
        <f t="shared" si="364"/>
        <v>0</v>
      </c>
    </row>
    <row r="247" spans="1:93" ht="13.5" thickBot="1" x14ac:dyDescent="0.25">
      <c r="A247" s="227"/>
      <c r="B247" s="171" t="str">
        <f t="shared" si="365"/>
        <v/>
      </c>
      <c r="C247" s="230"/>
      <c r="D247" s="169"/>
      <c r="E247" s="165"/>
      <c r="F247" s="165"/>
      <c r="G247" s="165"/>
      <c r="H247" s="165"/>
      <c r="I247" s="168"/>
      <c r="J247" s="167"/>
      <c r="K247" s="168"/>
      <c r="L247" s="167"/>
      <c r="M247" s="167"/>
      <c r="N247" s="168"/>
      <c r="O247" s="168"/>
      <c r="P247" s="167"/>
      <c r="Q247" s="167"/>
      <c r="R247" s="167"/>
      <c r="S247" s="222" t="str">
        <f>IF(ISBLANK(A247),"",IF(ISNA(VLOOKUP(I247,Veg_Parameters!$A$3:$N$65,3,FALSE)),0,(VLOOKUP(I247,Veg_Parameters!$A$3:$N$65,3,FALSE))))</f>
        <v/>
      </c>
      <c r="T247" s="222" t="str">
        <f>IF(ISBLANK(N247),"",IF(ISNA(VLOOKUP(N247,Veg_Parameters!$A$3:$N$65,3,FALSE)),0,(VLOOKUP(N247,Veg_Parameters!$A$3:$N$65,3,FALSE))))</f>
        <v/>
      </c>
      <c r="U247" s="523">
        <f t="shared" si="347"/>
        <v>0</v>
      </c>
      <c r="V247" s="523">
        <f t="shared" si="323"/>
        <v>0</v>
      </c>
      <c r="W247" s="524">
        <f>IF(ISBLANK(A247),0,IF(ISNA(VLOOKUP($I247,Veg_Parameters!$A$3:$N$65,10,FALSE)),0,(VLOOKUP($I247,Veg_Parameters!$A$3:$N$65,10,FALSE))))</f>
        <v>0</v>
      </c>
      <c r="X247" s="524">
        <f>IF(ISBLANK(A247),0,IF(ISNA(VLOOKUP($I247,Veg_Parameters!$A$3:$N$65,11,FALSE)),0,(VLOOKUP($I247,Veg_Parameters!$A$3:$N$65,11,FALSE))))</f>
        <v>0</v>
      </c>
      <c r="Y247" s="524">
        <f>IF(ISBLANK(A247),0,IF(ISNA(VLOOKUP($I247,Veg_Parameters!$A$3:$N$65,12,FALSE)),0,(VLOOKUP($I247,Veg_Parameters!$A$3:$N$65,12,FALSE))))</f>
        <v>0</v>
      </c>
      <c r="Z247" s="525">
        <f t="shared" si="324"/>
        <v>0</v>
      </c>
      <c r="AA247" s="525">
        <f t="shared" si="325"/>
        <v>0</v>
      </c>
      <c r="AB247" s="525">
        <f t="shared" si="326"/>
        <v>0</v>
      </c>
      <c r="AC247" s="524">
        <f>IF(ISBLANK(N247),0,IF(ISNA(VLOOKUP($N247,Veg_Parameters!$A$3:$N$65,10,FALSE)),0,(VLOOKUP($N247,Veg_Parameters!$A$3:$N$65,10,FALSE))))</f>
        <v>0</v>
      </c>
      <c r="AD247" s="524">
        <f>IF(ISBLANK(N247),0,IF(ISNA(VLOOKUP($N247,Veg_Parameters!$A$3:$N$65,11,FALSE)),0,(VLOOKUP($N247,Veg_Parameters!$A$3:$N$65,11,FALSE))))</f>
        <v>0</v>
      </c>
      <c r="AE247" s="524">
        <f>IF(ISBLANK(N247), 0, IF(ISNA(VLOOKUP($N247,Veg_Parameters!$A$3:$N$65,12,FALSE)),0,(VLOOKUP($N247,Veg_Parameters!$A$3:$N$65,12,FALSE))))</f>
        <v>0</v>
      </c>
      <c r="AF247" s="523">
        <f t="shared" si="327"/>
        <v>0</v>
      </c>
      <c r="AG247" s="523">
        <f t="shared" si="328"/>
        <v>0</v>
      </c>
      <c r="AH247" s="523">
        <f t="shared" si="329"/>
        <v>0</v>
      </c>
      <c r="AI247" s="526"/>
      <c r="AJ247" s="527">
        <f>AB247*(IF(ISNA(VLOOKUP($I247,Veg_Parameters!$A$3:$N$65,5,FALSE)),0,(VLOOKUP($I247,Veg_Parameters!$A$3:$N$65,5,FALSE))))</f>
        <v>0</v>
      </c>
      <c r="AK247" s="527">
        <f>IF(ISNA(VLOOKUP($I247,Veg_Parameters!$A$3:$N$65,4,FALSE)),0,(VLOOKUP($I247,Veg_Parameters!$A$3:$N$65,4,FALSE)))</f>
        <v>0</v>
      </c>
      <c r="AL247" s="527">
        <f>AB247*(IF(ISNA(VLOOKUP($I247,Veg_Parameters!$A$3:$N$65,7,FALSE)),0, (VLOOKUP($I247,Veg_Parameters!$A$3:$N$65,7,FALSE))))</f>
        <v>0</v>
      </c>
      <c r="AM247" s="528">
        <f>IF(ISNA(VLOOKUP($I247,Veg_Parameters!$A$3:$N$65,6,FALSE)), 0, (VLOOKUP($I247,Veg_Parameters!$A$3:$N$65,6,FALSE)))</f>
        <v>0</v>
      </c>
      <c r="AN247" s="529">
        <f t="shared" si="330"/>
        <v>20</v>
      </c>
      <c r="AO247" s="529">
        <f t="shared" si="331"/>
        <v>0</v>
      </c>
      <c r="AP247" s="529">
        <f t="shared" si="332"/>
        <v>0</v>
      </c>
      <c r="AQ247" s="530">
        <f t="shared" si="348"/>
        <v>0</v>
      </c>
      <c r="AR247" s="527" t="s">
        <v>3</v>
      </c>
      <c r="AS247" s="527">
        <f>IF(ISNA(VLOOKUP($I247,Veg_Parameters!$A$3:$N$65,8,FALSE)), 0, (VLOOKUP($I247,Veg_Parameters!$A$3:$N$65,8,FALSE)))</f>
        <v>0</v>
      </c>
      <c r="AT247" s="527">
        <f>AB247*(IF(ISNA(VLOOKUP($I247,Veg_Parameters!$A$3:$N$65,9,FALSE)), 0, (VLOOKUP($I247,Veg_Parameters!$A$3:$N$65,9,FALSE))))</f>
        <v>0</v>
      </c>
      <c r="AU247" s="527">
        <f>IF(ISBLANK(A247),0,VLOOKUP($I247,Veg_Parameters!$A$4:$U$65,21,))</f>
        <v>0</v>
      </c>
      <c r="AV247" s="527">
        <f t="shared" si="349"/>
        <v>0</v>
      </c>
      <c r="AW247" s="529">
        <f t="shared" si="350"/>
        <v>0</v>
      </c>
      <c r="AX247" s="529">
        <f t="shared" si="351"/>
        <v>0</v>
      </c>
      <c r="AY247" s="529">
        <f t="shared" si="333"/>
        <v>0</v>
      </c>
      <c r="AZ247" s="529">
        <f t="shared" si="352"/>
        <v>0</v>
      </c>
      <c r="BA247" s="529">
        <f t="shared" si="353"/>
        <v>0</v>
      </c>
      <c r="BB247" s="529">
        <f t="shared" si="354"/>
        <v>0</v>
      </c>
      <c r="BC247" s="529">
        <f t="shared" si="334"/>
        <v>0</v>
      </c>
      <c r="BD247" s="531"/>
      <c r="BE247" s="527">
        <f>AH247*(IF(ISNA(VLOOKUP($N247,Veg_Parameters!$A$3:$N$65,5,FALSE)),0,(VLOOKUP($N247,Veg_Parameters!$A$3:$N$65,5,FALSE))))</f>
        <v>0</v>
      </c>
      <c r="BF247" s="527">
        <f>IF(ISNA(VLOOKUP($N247,Veg_Parameters!$A$3:$N$65,4,FALSE)),0,(VLOOKUP($N247,Veg_Parameters!$A$3:$N$65,4,FALSE)))</f>
        <v>0</v>
      </c>
      <c r="BG247" s="527">
        <f>AH247*(IF(ISNA(VLOOKUP($N247,Veg_Parameters!$A$3:$N$65,7,FALSE)),0, (VLOOKUP($N247,Veg_Parameters!$A$3:$N$65,7,FALSE))))</f>
        <v>0</v>
      </c>
      <c r="BH247" s="527">
        <f>IF(ISNA(VLOOKUP($N247,Veg_Parameters!$A$3:$N$65,6,FALSE)), 0, (VLOOKUP($N247,Veg_Parameters!$A$3:$N$65,6,FALSE)))</f>
        <v>0</v>
      </c>
      <c r="BI247" s="529">
        <f t="shared" si="335"/>
        <v>20</v>
      </c>
      <c r="BJ247" s="529">
        <f t="shared" si="355"/>
        <v>0</v>
      </c>
      <c r="BK247" s="529">
        <f t="shared" si="336"/>
        <v>0</v>
      </c>
      <c r="BL247" s="530">
        <f t="shared" si="356"/>
        <v>0</v>
      </c>
      <c r="BM247" s="527" t="s">
        <v>3</v>
      </c>
      <c r="BN247" s="527">
        <f>IF(ISNA(VLOOKUP(N247,Veg_Parameters!$A$3:$N$65,8,FALSE)), 0, (VLOOKUP($N247,Veg_Parameters!$A$3:$N$65,8,FALSE)))</f>
        <v>0</v>
      </c>
      <c r="BO247" s="527">
        <f>AH247*(IF(ISNA(VLOOKUP($N247,Veg_Parameters!$A$3:$N$65,9,FALSE)), 0, (VLOOKUP($N247,Veg_Parameters!$A$3:$N$65,9,FALSE))))</f>
        <v>0</v>
      </c>
      <c r="BP247" s="527" t="str">
        <f>IF(ISBLANK(N247),"0",VLOOKUP($N247,Veg_Parameters!$A$4:$U$65,21,))</f>
        <v>0</v>
      </c>
      <c r="BQ247" s="529">
        <f t="shared" si="357"/>
        <v>0</v>
      </c>
      <c r="BR247" s="529">
        <f t="shared" si="358"/>
        <v>0</v>
      </c>
      <c r="BS247" s="529">
        <f t="shared" si="337"/>
        <v>0</v>
      </c>
      <c r="BT247" s="529">
        <f t="shared" si="359"/>
        <v>0</v>
      </c>
      <c r="BU247" s="529">
        <f t="shared" si="360"/>
        <v>0</v>
      </c>
      <c r="BV247" s="529">
        <f t="shared" si="361"/>
        <v>0</v>
      </c>
      <c r="BW247" s="532" t="str">
        <f t="shared" si="338"/>
        <v/>
      </c>
      <c r="BX247" s="532" t="str">
        <f t="shared" si="339"/>
        <v/>
      </c>
      <c r="BY247" s="532" t="str">
        <f t="shared" si="340"/>
        <v/>
      </c>
      <c r="BZ247" s="532" t="str">
        <f t="shared" si="341"/>
        <v/>
      </c>
      <c r="CA247" s="532">
        <f t="shared" si="342"/>
        <v>0</v>
      </c>
      <c r="CB247" s="533"/>
      <c r="CC247" s="624">
        <f t="shared" si="343"/>
        <v>0</v>
      </c>
      <c r="CD247" s="534">
        <f t="shared" si="344"/>
        <v>0</v>
      </c>
      <c r="CE247" s="534">
        <f t="shared" si="345"/>
        <v>0</v>
      </c>
      <c r="CF247" s="534">
        <f t="shared" si="346"/>
        <v>0</v>
      </c>
      <c r="CG247" s="534"/>
      <c r="CH247" s="534"/>
      <c r="CI247" s="534">
        <f t="shared" si="362"/>
        <v>0</v>
      </c>
      <c r="CL247" s="534">
        <f>IF(ISNA(VLOOKUP(I247,Veg_Parameters!$A$3:$N$65,13,FALSE)),0,(VLOOKUP(I247,Veg_Parameters!$A$3:$N$65,13,FALSE)))</f>
        <v>0</v>
      </c>
      <c r="CM247" s="534">
        <f t="shared" si="363"/>
        <v>0</v>
      </c>
      <c r="CN247" s="534">
        <f>IF(ISNA(VLOOKUP(N247,Veg_Parameters!$A$3:$N$65,13,FALSE)),0,(VLOOKUP(N247,Veg_Parameters!$A$3:$N$65,13,FALSE)))</f>
        <v>0</v>
      </c>
      <c r="CO247" s="523">
        <f t="shared" si="364"/>
        <v>0</v>
      </c>
    </row>
    <row r="248" spans="1:93" ht="13.5" thickBot="1" x14ac:dyDescent="0.25">
      <c r="A248" s="231" t="s">
        <v>70</v>
      </c>
      <c r="B248" s="186" t="str">
        <f>IF(ISBLANK(B223),"",B223)</f>
        <v/>
      </c>
      <c r="C248" s="231"/>
      <c r="D248" s="188"/>
      <c r="E248" s="188"/>
      <c r="F248" s="188"/>
      <c r="G248" s="189" t="str">
        <f>IFERROR((SUMPRODUCT($U223:$U247,G223:G247))/(100*$U248),"")</f>
        <v/>
      </c>
      <c r="H248" s="189" t="str">
        <f>IFERROR((SUMPRODUCT($U223:$U247,H223:H247))/(100*$U248),"")</f>
        <v/>
      </c>
      <c r="I248" s="188"/>
      <c r="J248" s="188"/>
      <c r="K248" s="188"/>
      <c r="L248" s="188"/>
      <c r="M248" s="188" t="s">
        <v>27</v>
      </c>
      <c r="N248" s="188"/>
      <c r="O248" s="188"/>
      <c r="P248" s="188"/>
      <c r="Q248" s="188"/>
      <c r="R248" s="188" t="s">
        <v>27</v>
      </c>
      <c r="S248" s="223"/>
      <c r="T248" s="223"/>
      <c r="U248" s="562">
        <f>+SUM(U223:U247)</f>
        <v>0</v>
      </c>
      <c r="V248" s="535" t="str">
        <f>IFERROR(SUMPRODUCT(U223:U247, V223:V247)/U248,"")</f>
        <v/>
      </c>
      <c r="W248" s="536"/>
      <c r="X248" s="536"/>
      <c r="Y248" s="536"/>
      <c r="Z248" s="536"/>
      <c r="AA248" s="536"/>
      <c r="AB248" s="536"/>
      <c r="AC248" s="536"/>
      <c r="AD248" s="536"/>
      <c r="AE248" s="536"/>
      <c r="AF248" s="537"/>
      <c r="AG248" s="537"/>
      <c r="AH248" s="537"/>
      <c r="AI248" s="104"/>
      <c r="AJ248" s="538"/>
      <c r="AK248" s="538"/>
      <c r="AL248" s="539"/>
      <c r="AM248" s="540"/>
      <c r="AN248" s="541"/>
      <c r="AO248" s="538"/>
      <c r="AP248" s="542">
        <f>MAX(AP223:AP247)</f>
        <v>0</v>
      </c>
      <c r="AQ248" s="542" t="s">
        <v>27</v>
      </c>
      <c r="AR248" s="538"/>
      <c r="AS248" s="538"/>
      <c r="AT248" s="538"/>
      <c r="AU248" s="538"/>
      <c r="AV248" s="543">
        <f>SUM(AV223:AV247)</f>
        <v>0</v>
      </c>
      <c r="AW248" s="538"/>
      <c r="AX248" s="538"/>
      <c r="AY248" s="544"/>
      <c r="AZ248" s="544"/>
      <c r="BA248" s="544"/>
      <c r="BB248" s="544"/>
      <c r="BC248" s="544"/>
      <c r="BD248" s="538"/>
      <c r="BE248" s="538"/>
      <c r="BF248" s="538"/>
      <c r="BG248" s="539"/>
      <c r="BH248" s="540"/>
      <c r="BI248" s="541"/>
      <c r="BJ248" s="538"/>
      <c r="BK248" s="542">
        <f>MAX(BK223:BK247)</f>
        <v>0</v>
      </c>
      <c r="BL248" s="538"/>
      <c r="BM248" s="538"/>
      <c r="BN248" s="538"/>
      <c r="BO248" s="538"/>
      <c r="BP248" s="538"/>
      <c r="BQ248" s="538"/>
      <c r="BR248" s="538"/>
      <c r="BS248" s="544"/>
      <c r="BT248" s="544"/>
      <c r="BU248" s="544"/>
      <c r="BV248" s="544"/>
      <c r="BW248" s="545">
        <f>SUM(IF(FREQUENCY(BW223:BW247,BW223:BW247)&gt;0,1))</f>
        <v>0</v>
      </c>
      <c r="BX248" s="545">
        <f>SUM(IF(FREQUENCY(BX223:BX247,BX223:BX247)&gt;0,1))</f>
        <v>0</v>
      </c>
      <c r="BY248" s="545">
        <f>SUM(IF(FREQUENCY(BY223:BY247,BY223:BY247)&gt;0,1))</f>
        <v>0</v>
      </c>
      <c r="BZ248" s="545">
        <f>SUM(IF(FREQUENCY(BZ223:BZ247,BZ223:BZ247)&gt;0,1))</f>
        <v>0</v>
      </c>
      <c r="CA248" s="546"/>
      <c r="CB248" s="547"/>
      <c r="CC248" s="625" t="str">
        <f>+IFERROR(((SUM(CC223:CC247))/$U248),"")</f>
        <v/>
      </c>
      <c r="CD248" s="548" t="str">
        <f>+IFERROR(((SUM(CD223:CD247))/$U248),"")</f>
        <v/>
      </c>
      <c r="CE248" s="548" t="str">
        <f>+IFERROR(((SUM(CE223:CE247))/$U248),"")</f>
        <v/>
      </c>
      <c r="CF248" s="549" t="str">
        <f>+IFERROR(((SUM(CF223:CF247))/$U248),"")</f>
        <v/>
      </c>
      <c r="CG248" s="550">
        <f>SUM(IF(FREQUENCY(BW223:BX247,BW223:BX247)&gt;0,1))</f>
        <v>0</v>
      </c>
      <c r="CH248" s="551">
        <f>SUM(IF(FREQUENCY(BY223:BZ247,BY223:BZ247)&gt;0,1))</f>
        <v>0</v>
      </c>
      <c r="CI248" s="552">
        <f>+SUM(CI223:CI247)</f>
        <v>0</v>
      </c>
    </row>
    <row r="249" spans="1:93" ht="28.5" customHeight="1" thickBot="1" x14ac:dyDescent="0.25">
      <c r="A249" s="219"/>
      <c r="B249" s="48"/>
      <c r="C249" s="219"/>
      <c r="D249" s="49"/>
      <c r="E249" s="49"/>
      <c r="F249" s="49"/>
      <c r="G249" s="49"/>
      <c r="H249" s="49"/>
      <c r="I249" s="49"/>
      <c r="J249" s="49"/>
      <c r="K249" s="49"/>
      <c r="L249" s="49"/>
      <c r="M249" s="49"/>
      <c r="N249" s="49"/>
      <c r="O249" s="49"/>
      <c r="P249" s="49"/>
      <c r="Q249" s="49"/>
      <c r="R249" s="49"/>
      <c r="S249" s="219"/>
      <c r="T249" s="219"/>
      <c r="U249" s="554"/>
      <c r="V249" s="554"/>
      <c r="W249" s="490"/>
      <c r="X249" s="490"/>
      <c r="Y249" s="490"/>
      <c r="Z249" s="490"/>
      <c r="AA249" s="490"/>
      <c r="AB249" s="490"/>
      <c r="AC249" s="490"/>
      <c r="AD249" s="490"/>
      <c r="AE249" s="490"/>
      <c r="AF249" s="491"/>
      <c r="AG249" s="491"/>
      <c r="AH249" s="491"/>
      <c r="AI249" s="104"/>
      <c r="AJ249" s="477"/>
      <c r="AK249" s="477"/>
      <c r="AL249" s="477"/>
      <c r="AM249" s="477"/>
      <c r="AN249" s="477"/>
      <c r="AO249" s="477"/>
      <c r="AP249" s="477"/>
      <c r="AQ249" s="477"/>
      <c r="AR249" s="477"/>
      <c r="AS249" s="477"/>
      <c r="AT249" s="477"/>
      <c r="AU249" s="477"/>
      <c r="AV249" s="477"/>
      <c r="AW249" s="477"/>
      <c r="AX249" s="477"/>
      <c r="AY249" s="563"/>
      <c r="AZ249" s="564"/>
      <c r="BA249" s="564"/>
      <c r="BB249" s="564"/>
      <c r="BC249" s="564"/>
      <c r="BD249" s="477"/>
      <c r="BE249" s="477"/>
      <c r="BF249" s="477"/>
      <c r="BG249" s="477"/>
      <c r="BH249" s="477"/>
      <c r="BI249" s="477"/>
      <c r="BJ249" s="477"/>
      <c r="BK249" s="477"/>
      <c r="BL249" s="477"/>
      <c r="BM249" s="477"/>
      <c r="BN249" s="477"/>
      <c r="BO249" s="477"/>
      <c r="BP249" s="477"/>
      <c r="BQ249" s="477"/>
      <c r="BR249" s="477"/>
      <c r="BS249" s="290"/>
      <c r="BT249" s="104"/>
      <c r="BU249" s="104"/>
      <c r="BV249" s="104"/>
      <c r="BW249" s="555"/>
      <c r="BX249" s="555"/>
      <c r="BY249" s="555"/>
      <c r="BZ249" s="555"/>
      <c r="CA249" s="473"/>
      <c r="CB249" s="492"/>
      <c r="CC249" s="1164" t="s">
        <v>393</v>
      </c>
      <c r="CD249" s="1165"/>
      <c r="CE249" s="1165"/>
      <c r="CF249" s="1166"/>
      <c r="CG249" s="1162" t="s">
        <v>560</v>
      </c>
      <c r="CH249" s="1163"/>
      <c r="CI249" s="556" t="s">
        <v>553</v>
      </c>
    </row>
    <row r="250" spans="1:93" s="121" customFormat="1" x14ac:dyDescent="0.2">
      <c r="A250" s="224" t="s">
        <v>404</v>
      </c>
      <c r="B250" s="119"/>
      <c r="C250" s="224"/>
      <c r="D250" s="120"/>
      <c r="E250" s="120"/>
      <c r="F250" s="120"/>
      <c r="G250" s="120"/>
      <c r="H250" s="120"/>
      <c r="I250" s="120"/>
      <c r="J250" s="120"/>
      <c r="K250" s="120"/>
      <c r="L250" s="113"/>
      <c r="M250" s="120"/>
      <c r="N250" s="120"/>
      <c r="O250" s="120"/>
      <c r="P250" s="113"/>
      <c r="Q250" s="120"/>
      <c r="R250" s="120"/>
      <c r="S250" s="224"/>
      <c r="T250" s="224"/>
      <c r="U250" s="557"/>
      <c r="V250" s="557"/>
      <c r="W250" s="558"/>
      <c r="X250" s="558"/>
      <c r="Y250" s="558"/>
      <c r="Z250" s="558"/>
      <c r="AA250" s="558"/>
      <c r="AB250" s="558"/>
      <c r="AC250" s="558"/>
      <c r="AD250" s="558"/>
      <c r="AE250" s="558"/>
      <c r="AF250" s="559"/>
      <c r="AG250" s="559"/>
      <c r="AH250" s="559"/>
      <c r="AI250" s="104"/>
      <c r="AJ250" s="559"/>
      <c r="AK250" s="559"/>
      <c r="AL250" s="559"/>
      <c r="AM250" s="559"/>
      <c r="AN250" s="559"/>
      <c r="AO250" s="559"/>
      <c r="AP250" s="559"/>
      <c r="AQ250" s="559"/>
      <c r="AR250" s="559"/>
      <c r="AS250" s="559"/>
      <c r="AT250" s="559"/>
      <c r="AU250" s="559"/>
      <c r="AV250" s="559"/>
      <c r="AW250" s="559"/>
      <c r="AX250" s="559"/>
      <c r="AY250" s="559"/>
      <c r="AZ250" s="559"/>
      <c r="BA250" s="559"/>
      <c r="BB250" s="559"/>
      <c r="BC250" s="559"/>
      <c r="BD250" s="559"/>
      <c r="BE250" s="559"/>
      <c r="BF250" s="559"/>
      <c r="BG250" s="559"/>
      <c r="BH250" s="559"/>
      <c r="BI250" s="559"/>
      <c r="BJ250" s="559"/>
      <c r="BK250" s="559"/>
      <c r="BL250" s="559"/>
      <c r="BM250" s="559"/>
      <c r="BN250" s="559"/>
      <c r="BO250" s="559"/>
      <c r="BP250" s="559"/>
      <c r="BQ250" s="559"/>
      <c r="BR250" s="559"/>
      <c r="BS250" s="559"/>
      <c r="BT250" s="559"/>
      <c r="BU250" s="559"/>
      <c r="BV250" s="559"/>
      <c r="BW250" s="475"/>
      <c r="BX250" s="475"/>
      <c r="BY250" s="475"/>
      <c r="BZ250" s="475"/>
      <c r="CA250" s="475"/>
      <c r="CB250" s="475"/>
      <c r="CC250" s="626"/>
      <c r="CD250" s="560"/>
      <c r="CE250" s="560"/>
      <c r="CF250" s="560"/>
      <c r="CG250" s="560"/>
      <c r="CH250" s="560"/>
      <c r="CI250" s="560"/>
      <c r="CJ250" s="560"/>
      <c r="CK250" s="560"/>
      <c r="CL250" s="560"/>
      <c r="CM250" s="560"/>
      <c r="CN250" s="560"/>
      <c r="CO250" s="561"/>
    </row>
    <row r="251" spans="1:93" s="183" customFormat="1" ht="87" customHeight="1" x14ac:dyDescent="0.2">
      <c r="A251" s="228" t="s">
        <v>73</v>
      </c>
      <c r="B251" s="184" t="s">
        <v>421</v>
      </c>
      <c r="C251" s="293" t="s">
        <v>114</v>
      </c>
      <c r="D251" s="173" t="s">
        <v>53</v>
      </c>
      <c r="E251" s="173" t="s">
        <v>499</v>
      </c>
      <c r="F251" s="173" t="s">
        <v>394</v>
      </c>
      <c r="G251" s="173" t="s">
        <v>242</v>
      </c>
      <c r="H251" s="173" t="s">
        <v>563</v>
      </c>
      <c r="I251" s="173" t="s">
        <v>236</v>
      </c>
      <c r="J251" s="173" t="s">
        <v>240</v>
      </c>
      <c r="K251" s="173" t="s">
        <v>238</v>
      </c>
      <c r="L251" s="173" t="s">
        <v>554</v>
      </c>
      <c r="M251" s="173" t="s">
        <v>241</v>
      </c>
      <c r="N251" s="173" t="s">
        <v>237</v>
      </c>
      <c r="O251" s="173" t="s">
        <v>243</v>
      </c>
      <c r="P251" s="173" t="s">
        <v>239</v>
      </c>
      <c r="Q251" s="173" t="s">
        <v>555</v>
      </c>
      <c r="R251" s="173" t="s">
        <v>244</v>
      </c>
      <c r="S251" s="220" t="s">
        <v>245</v>
      </c>
      <c r="T251" s="220" t="s">
        <v>256</v>
      </c>
      <c r="U251" s="500" t="s">
        <v>53</v>
      </c>
      <c r="V251" s="500" t="s">
        <v>396</v>
      </c>
      <c r="W251" s="501" t="s">
        <v>508</v>
      </c>
      <c r="X251" s="501" t="s">
        <v>509</v>
      </c>
      <c r="Y251" s="501" t="s">
        <v>510</v>
      </c>
      <c r="Z251" s="501" t="s">
        <v>512</v>
      </c>
      <c r="AA251" s="501" t="s">
        <v>513</v>
      </c>
      <c r="AB251" s="501" t="s">
        <v>514</v>
      </c>
      <c r="AC251" s="501" t="s">
        <v>506</v>
      </c>
      <c r="AD251" s="501" t="s">
        <v>507</v>
      </c>
      <c r="AE251" s="501" t="s">
        <v>511</v>
      </c>
      <c r="AF251" s="501" t="s">
        <v>503</v>
      </c>
      <c r="AG251" s="501" t="s">
        <v>504</v>
      </c>
      <c r="AH251" s="501" t="s">
        <v>505</v>
      </c>
      <c r="AI251" s="502"/>
      <c r="AJ251" s="502" t="s">
        <v>246</v>
      </c>
      <c r="AK251" s="502" t="s">
        <v>247</v>
      </c>
      <c r="AL251" s="503" t="s">
        <v>248</v>
      </c>
      <c r="AM251" s="503" t="s">
        <v>249</v>
      </c>
      <c r="AN251" s="504" t="s">
        <v>250</v>
      </c>
      <c r="AO251" s="502" t="s">
        <v>270</v>
      </c>
      <c r="AP251" s="502" t="s">
        <v>271</v>
      </c>
      <c r="AQ251" s="503" t="s">
        <v>251</v>
      </c>
      <c r="AR251" s="503" t="s">
        <v>14</v>
      </c>
      <c r="AS251" s="503" t="s">
        <v>252</v>
      </c>
      <c r="AT251" s="503" t="s">
        <v>253</v>
      </c>
      <c r="AU251" s="503" t="s">
        <v>579</v>
      </c>
      <c r="AV251" s="503" t="s">
        <v>578</v>
      </c>
      <c r="AW251" s="503" t="s">
        <v>254</v>
      </c>
      <c r="AX251" s="503" t="s">
        <v>255</v>
      </c>
      <c r="AY251" s="503" t="s">
        <v>391</v>
      </c>
      <c r="AZ251" s="503" t="s">
        <v>267</v>
      </c>
      <c r="BA251" s="503" t="s">
        <v>272</v>
      </c>
      <c r="BB251" s="503" t="s">
        <v>273</v>
      </c>
      <c r="BC251" s="502" t="s">
        <v>539</v>
      </c>
      <c r="BD251" s="503"/>
      <c r="BE251" s="502" t="s">
        <v>257</v>
      </c>
      <c r="BF251" s="502" t="s">
        <v>258</v>
      </c>
      <c r="BG251" s="503" t="s">
        <v>259</v>
      </c>
      <c r="BH251" s="503" t="s">
        <v>260</v>
      </c>
      <c r="BI251" s="504" t="s">
        <v>261</v>
      </c>
      <c r="BJ251" s="502" t="s">
        <v>275</v>
      </c>
      <c r="BK251" s="502" t="s">
        <v>274</v>
      </c>
      <c r="BL251" s="503" t="s">
        <v>262</v>
      </c>
      <c r="BM251" s="503" t="s">
        <v>14</v>
      </c>
      <c r="BN251" s="503" t="s">
        <v>263</v>
      </c>
      <c r="BO251" s="503" t="s">
        <v>264</v>
      </c>
      <c r="BP251" s="503" t="s">
        <v>542</v>
      </c>
      <c r="BQ251" s="503" t="s">
        <v>265</v>
      </c>
      <c r="BR251" s="503" t="s">
        <v>266</v>
      </c>
      <c r="BS251" s="503" t="s">
        <v>392</v>
      </c>
      <c r="BT251" s="503" t="s">
        <v>276</v>
      </c>
      <c r="BU251" s="503" t="s">
        <v>277</v>
      </c>
      <c r="BV251" s="503" t="s">
        <v>278</v>
      </c>
      <c r="BW251" s="503" t="s">
        <v>556</v>
      </c>
      <c r="BX251" s="503" t="s">
        <v>559</v>
      </c>
      <c r="BY251" s="503" t="s">
        <v>557</v>
      </c>
      <c r="BZ251" s="503" t="s">
        <v>558</v>
      </c>
      <c r="CA251" s="505" t="s">
        <v>543</v>
      </c>
      <c r="CB251" s="506"/>
      <c r="CC251" s="622" t="s">
        <v>279</v>
      </c>
      <c r="CD251" s="506" t="s">
        <v>280</v>
      </c>
      <c r="CE251" s="506" t="s">
        <v>281</v>
      </c>
      <c r="CF251" s="506" t="s">
        <v>282</v>
      </c>
      <c r="CG251" s="506" t="s">
        <v>283</v>
      </c>
      <c r="CH251" s="506" t="s">
        <v>284</v>
      </c>
      <c r="CI251" s="506" t="s">
        <v>545</v>
      </c>
      <c r="CJ251" s="507"/>
      <c r="CK251" s="507"/>
      <c r="CL251" s="506" t="s">
        <v>422</v>
      </c>
      <c r="CM251" s="506" t="s">
        <v>516</v>
      </c>
      <c r="CN251" s="506" t="s">
        <v>423</v>
      </c>
      <c r="CO251" s="508" t="s">
        <v>517</v>
      </c>
    </row>
    <row r="252" spans="1:93" s="16" customFormat="1" ht="27" customHeight="1" x14ac:dyDescent="0.2">
      <c r="A252" s="229" t="s">
        <v>5</v>
      </c>
      <c r="B252" s="185" t="s">
        <v>28</v>
      </c>
      <c r="C252" s="294" t="s">
        <v>5</v>
      </c>
      <c r="D252" s="174" t="s">
        <v>119</v>
      </c>
      <c r="E252" s="174" t="s">
        <v>498</v>
      </c>
      <c r="F252" s="174" t="s">
        <v>268</v>
      </c>
      <c r="G252" s="174" t="s">
        <v>60</v>
      </c>
      <c r="H252" s="174"/>
      <c r="I252" s="174" t="s">
        <v>28</v>
      </c>
      <c r="J252" s="174" t="s">
        <v>15</v>
      </c>
      <c r="K252" s="174" t="s">
        <v>269</v>
      </c>
      <c r="L252" s="174" t="s">
        <v>61</v>
      </c>
      <c r="M252" s="174" t="s">
        <v>5</v>
      </c>
      <c r="N252" s="174" t="s">
        <v>28</v>
      </c>
      <c r="O252" s="174" t="s">
        <v>15</v>
      </c>
      <c r="P252" s="174" t="s">
        <v>269</v>
      </c>
      <c r="Q252" s="174" t="s">
        <v>61</v>
      </c>
      <c r="R252" s="174" t="s">
        <v>5</v>
      </c>
      <c r="S252" s="221" t="s">
        <v>16</v>
      </c>
      <c r="T252" s="221" t="s">
        <v>16</v>
      </c>
      <c r="U252" s="509" t="s">
        <v>59</v>
      </c>
      <c r="V252" s="509" t="s">
        <v>5</v>
      </c>
      <c r="W252" s="510" t="s">
        <v>60</v>
      </c>
      <c r="X252" s="510" t="s">
        <v>60</v>
      </c>
      <c r="Y252" s="510" t="s">
        <v>60</v>
      </c>
      <c r="Z252" s="511" t="s">
        <v>60</v>
      </c>
      <c r="AA252" s="511" t="s">
        <v>60</v>
      </c>
      <c r="AB252" s="511" t="s">
        <v>60</v>
      </c>
      <c r="AC252" s="510" t="s">
        <v>60</v>
      </c>
      <c r="AD252" s="510" t="s">
        <v>60</v>
      </c>
      <c r="AE252" s="510"/>
      <c r="AF252" s="511" t="s">
        <v>60</v>
      </c>
      <c r="AG252" s="511" t="s">
        <v>60</v>
      </c>
      <c r="AH252" s="511" t="s">
        <v>60</v>
      </c>
      <c r="AI252" s="512"/>
      <c r="AJ252" s="512" t="s">
        <v>17</v>
      </c>
      <c r="AK252" s="512" t="s">
        <v>18</v>
      </c>
      <c r="AL252" s="513" t="s">
        <v>51</v>
      </c>
      <c r="AM252" s="514" t="s">
        <v>60</v>
      </c>
      <c r="AN252" s="515" t="s">
        <v>52</v>
      </c>
      <c r="AO252" s="516" t="s">
        <v>18</v>
      </c>
      <c r="AP252" s="516" t="s">
        <v>18</v>
      </c>
      <c r="AQ252" s="517" t="s">
        <v>60</v>
      </c>
      <c r="AR252" s="517" t="s">
        <v>18</v>
      </c>
      <c r="AS252" s="517" t="s">
        <v>18</v>
      </c>
      <c r="AT252" s="517" t="s">
        <v>17</v>
      </c>
      <c r="AU252" s="517" t="s">
        <v>538</v>
      </c>
      <c r="AV252" s="517" t="s">
        <v>59</v>
      </c>
      <c r="AW252" s="517" t="s">
        <v>18</v>
      </c>
      <c r="AX252" s="517" t="s">
        <v>59</v>
      </c>
      <c r="AY252" s="517" t="s">
        <v>59</v>
      </c>
      <c r="AZ252" s="517" t="s">
        <v>59</v>
      </c>
      <c r="BA252" s="517" t="s">
        <v>59</v>
      </c>
      <c r="BB252" s="517" t="s">
        <v>59</v>
      </c>
      <c r="BC252" s="512" t="s">
        <v>59</v>
      </c>
      <c r="BD252" s="518"/>
      <c r="BE252" s="512" t="s">
        <v>17</v>
      </c>
      <c r="BF252" s="512" t="s">
        <v>18</v>
      </c>
      <c r="BG252" s="513" t="s">
        <v>51</v>
      </c>
      <c r="BH252" s="514" t="s">
        <v>60</v>
      </c>
      <c r="BI252" s="515" t="s">
        <v>52</v>
      </c>
      <c r="BJ252" s="516" t="s">
        <v>18</v>
      </c>
      <c r="BK252" s="516" t="s">
        <v>18</v>
      </c>
      <c r="BL252" s="517" t="s">
        <v>60</v>
      </c>
      <c r="BM252" s="517" t="s">
        <v>18</v>
      </c>
      <c r="BN252" s="517" t="s">
        <v>18</v>
      </c>
      <c r="BO252" s="517" t="s">
        <v>17</v>
      </c>
      <c r="BP252" s="517" t="s">
        <v>538</v>
      </c>
      <c r="BQ252" s="517" t="s">
        <v>18</v>
      </c>
      <c r="BR252" s="517" t="s">
        <v>59</v>
      </c>
      <c r="BS252" s="517" t="s">
        <v>59</v>
      </c>
      <c r="BT252" s="517" t="s">
        <v>59</v>
      </c>
      <c r="BU252" s="517" t="s">
        <v>59</v>
      </c>
      <c r="BV252" s="517" t="s">
        <v>59</v>
      </c>
      <c r="BW252" s="519" t="s">
        <v>386</v>
      </c>
      <c r="BX252" s="519" t="s">
        <v>386</v>
      </c>
      <c r="BY252" s="519" t="s">
        <v>387</v>
      </c>
      <c r="BZ252" s="519" t="s">
        <v>387</v>
      </c>
      <c r="CA252" s="519" t="s">
        <v>59</v>
      </c>
      <c r="CB252" s="520"/>
      <c r="CC252" s="623" t="s">
        <v>59</v>
      </c>
      <c r="CD252" s="520" t="s">
        <v>59</v>
      </c>
      <c r="CE252" s="520" t="s">
        <v>59</v>
      </c>
      <c r="CF252" s="520" t="s">
        <v>59</v>
      </c>
      <c r="CG252" s="520" t="s">
        <v>386</v>
      </c>
      <c r="CH252" s="520" t="s">
        <v>387</v>
      </c>
      <c r="CI252" s="520" t="s">
        <v>59</v>
      </c>
      <c r="CJ252" s="521"/>
      <c r="CK252" s="521"/>
      <c r="CL252" s="520" t="s">
        <v>28</v>
      </c>
      <c r="CM252" s="520" t="s">
        <v>59</v>
      </c>
      <c r="CN252" s="520" t="s">
        <v>28</v>
      </c>
      <c r="CO252" s="522" t="s">
        <v>59</v>
      </c>
    </row>
    <row r="253" spans="1:93" x14ac:dyDescent="0.2">
      <c r="A253" s="230"/>
      <c r="B253" s="164"/>
      <c r="C253" s="230"/>
      <c r="D253" s="169"/>
      <c r="E253" s="165"/>
      <c r="F253" s="165"/>
      <c r="G253" s="165"/>
      <c r="H253" s="165"/>
      <c r="I253" s="166"/>
      <c r="J253" s="167"/>
      <c r="K253" s="166"/>
      <c r="L253" s="166"/>
      <c r="M253" s="167"/>
      <c r="N253" s="166"/>
      <c r="O253" s="166"/>
      <c r="P253" s="166"/>
      <c r="Q253" s="167"/>
      <c r="R253" s="167"/>
      <c r="S253" s="222" t="str">
        <f>IF(ISBLANK(A253),"",IF(ISNA(VLOOKUP(I253,Veg_Parameters!$A$3:$N$65,3,FALSE)),0,(VLOOKUP(I253,Veg_Parameters!$A$3:$N$65,3,FALSE))))</f>
        <v/>
      </c>
      <c r="T253" s="222" t="str">
        <f>IF(ISBLANK(N253),"",IF(ISNA(VLOOKUP(N253,Veg_Parameters!$A$3:$N$65,3,FALSE)),0,(VLOOKUP(N253,Veg_Parameters!$A$3:$N$65,3,FALSE))))</f>
        <v/>
      </c>
      <c r="U253" s="523">
        <f>IF(ISBLANK(A253),0,0.092903*D253)</f>
        <v>0</v>
      </c>
      <c r="V253" s="523">
        <f t="shared" ref="V253:V277" si="366">IF(ISBLANK(A253),0, IF(F253="H", 5, IF(F253="M", 3, IF(F253="L", 1.5, 0))))</f>
        <v>0</v>
      </c>
      <c r="W253" s="524">
        <f>IF(ISBLANK(A253),0,IF(ISNA(VLOOKUP($I253,Veg_Parameters!$A$3:$N$65,10,FALSE)),0,(VLOOKUP($I253,Veg_Parameters!$A$3:$N$65,10,FALSE))))</f>
        <v>0</v>
      </c>
      <c r="X253" s="524">
        <f>IF(ISBLANK(A253),0,IF(ISNA(VLOOKUP($I253,Veg_Parameters!$A$3:$N$65,11,FALSE)),0,(VLOOKUP($I253,Veg_Parameters!$A$3:$N$65,11,FALSE))))</f>
        <v>0</v>
      </c>
      <c r="Y253" s="524">
        <f>IF(ISBLANK(A253),0,IF(ISNA(VLOOKUP($I253,Veg_Parameters!$A$3:$N$65,12,FALSE)),0,(VLOOKUP($I253,Veg_Parameters!$A$3:$N$65,12,FALSE))))</f>
        <v>0</v>
      </c>
      <c r="Z253" s="525">
        <f t="shared" ref="Z253:Z277" si="367">IF($E253="C",$W253,IF($E253="F",$X253,IF($E253="M",1,0)))</f>
        <v>0</v>
      </c>
      <c r="AA253" s="525">
        <f t="shared" ref="AA253:AA277" si="368">IF(ISBLANK(E253), 0, IF($O$9="L", $Y253, IF($O$9 = "H", 1, IF($O$9="M", 0.8, " "))))</f>
        <v>0</v>
      </c>
      <c r="AB253" s="525">
        <f t="shared" ref="AB253:AB277" si="369">IF(I253&gt;0, Z253*AA253, 0)</f>
        <v>0</v>
      </c>
      <c r="AC253" s="524">
        <f>IF(ISBLANK(N253),0,IF(ISNA(VLOOKUP($N253,Veg_Parameters!$A$3:$N$65,10,FALSE)),0,(VLOOKUP($N253,Veg_Parameters!$A$3:$N$65,10,FALSE))))</f>
        <v>0</v>
      </c>
      <c r="AD253" s="524">
        <f>IF(ISBLANK(N253),0,IF(ISNA(VLOOKUP($N253,Veg_Parameters!$A$3:$N$65,11,FALSE)),0,(VLOOKUP($N253,Veg_Parameters!$A$3:$N$65,11,FALSE))))</f>
        <v>0</v>
      </c>
      <c r="AE253" s="524">
        <f>IF(ISBLANK(N253), 0, IF(ISNA(VLOOKUP($N253,Veg_Parameters!$A$3:$N$65,12,FALSE)),0,(VLOOKUP($N253,Veg_Parameters!$A$3:$N$65,12,FALSE))))</f>
        <v>0</v>
      </c>
      <c r="AF253" s="523">
        <f t="shared" ref="AF253:AF277" si="370">IF(N253="", 0,IF($E253="C",W253,IF($E253="F",X253,IF($E253="M",1," "))))</f>
        <v>0</v>
      </c>
      <c r="AG253" s="523">
        <f t="shared" ref="AG253:AG277" si="371">IF(N253="", 0,IF($O$9="L", $AE253, IF($O$9 = "H", 1, IF($O$9="M", 0.8, ""))))</f>
        <v>0</v>
      </c>
      <c r="AH253" s="523">
        <f t="shared" ref="AH253:AH277" si="372">IF(N253&gt;0, AF253*AG253, 0)</f>
        <v>0</v>
      </c>
      <c r="AI253" s="526"/>
      <c r="AJ253" s="527">
        <f>AB253*(IF(ISNA(VLOOKUP($I253,Veg_Parameters!$A$3:$N$65,5,FALSE)),0,(VLOOKUP($I253,Veg_Parameters!$A$3:$N$65,5,FALSE))))</f>
        <v>0</v>
      </c>
      <c r="AK253" s="527">
        <f>IF(ISNA(VLOOKUP($I253,Veg_Parameters!$A$3:$N$65,4,FALSE)),0,(VLOOKUP($I253,Veg_Parameters!$A$3:$N$65,4,FALSE)))</f>
        <v>0</v>
      </c>
      <c r="AL253" s="527">
        <f>AB253*(IF(ISNA(VLOOKUP($I253,Veg_Parameters!$A$3:$N$65,7,FALSE)),0, (VLOOKUP($I253,Veg_Parameters!$A$3:$N$65,7,FALSE))))</f>
        <v>0</v>
      </c>
      <c r="AM253" s="528">
        <f>IF(ISNA(VLOOKUP($I253,Veg_Parameters!$A$3:$N$65,6,FALSE)), 0, (VLOOKUP($I253,Veg_Parameters!$A$3:$N$65,6,FALSE)))</f>
        <v>0</v>
      </c>
      <c r="AN253" s="529">
        <f t="shared" ref="AN253:AN277" si="373">IF($O$7=1,J253+$O$8,J253)</f>
        <v>20</v>
      </c>
      <c r="AO253" s="529">
        <f t="shared" ref="AO253:AO277" si="374">IF(AJ253&gt;0, AK253*(1-EXP(-AJ253*AN253/AK253)), 0)</f>
        <v>0</v>
      </c>
      <c r="AP253" s="529">
        <f t="shared" ref="AP253:AP277" si="375">IF(K253&gt;0, K253*0.3048, AO253)</f>
        <v>0</v>
      </c>
      <c r="AQ253" s="530">
        <f>IF(AL253&gt;0, AM253*(1-EXP(-AL253*AN253/AM253)), 0)</f>
        <v>0</v>
      </c>
      <c r="AR253" s="527" t="s">
        <v>3</v>
      </c>
      <c r="AS253" s="527">
        <f>IF(ISNA(VLOOKUP($I253,Veg_Parameters!$A$3:$N$65,8,FALSE)), 0, (VLOOKUP($I253,Veg_Parameters!$A$3:$N$65,8,FALSE)))</f>
        <v>0</v>
      </c>
      <c r="AT253" s="527">
        <f>AB253*(IF(ISNA(VLOOKUP($I253,Veg_Parameters!$A$3:$N$65,9,FALSE)), 0, (VLOOKUP($I253,Veg_Parameters!$A$3:$N$65,9,FALSE))))</f>
        <v>0</v>
      </c>
      <c r="AU253" s="527">
        <f>IF(ISBLANK(A253),0,VLOOKUP($I253,Veg_Parameters!$A$4:$U$65,21,))</f>
        <v>0</v>
      </c>
      <c r="AV253" s="527">
        <f>IF(OR(I253=3500,I253=3600),U253,0)</f>
        <v>0</v>
      </c>
      <c r="AW253" s="529">
        <f>IF(AT253&gt;0, AS253*(1-EXP(-AT253*AN253/AS253)),0)</f>
        <v>0</v>
      </c>
      <c r="AX253" s="529">
        <f>PI()*(0.5*AW253)^2</f>
        <v>0</v>
      </c>
      <c r="AY253" s="529">
        <f t="shared" ref="AY253:AY277" si="376">IF(AX253*L253*($D253/1000)&lt;$U253, AX253*L253*($D253/1000), $U253)</f>
        <v>0</v>
      </c>
      <c r="AZ253" s="529">
        <f>+IF(AP253&gt;4.6,AY253,0)</f>
        <v>0</v>
      </c>
      <c r="BA253" s="529">
        <f>IF(AND(AP253&gt;0.9,AP253&lt;4.6),AY253,IF(AP253&gt;4.6,0.5*AY253,0))</f>
        <v>0</v>
      </c>
      <c r="BB253" s="529">
        <f>IF(AND(AP253&gt;0,AP253&lt;0.9),AY253,IF(AND(AP253&gt;0.9,AP253&lt;4.6),AY253*0.5,IF(AP253&gt;4.6,AY253*0.25,0)))</f>
        <v>0</v>
      </c>
      <c r="BC253" s="529">
        <f t="shared" ref="BC253:BC277" si="377">IF(ISBLANK(A253),0,(AY253*AU253))</f>
        <v>0</v>
      </c>
      <c r="BD253" s="531"/>
      <c r="BE253" s="527">
        <f>AH253*(IF(ISNA(VLOOKUP($N253,Veg_Parameters!$A$3:$N$65,5,FALSE)),0,(VLOOKUP($N253,Veg_Parameters!$A$3:$N$65,5,FALSE))))</f>
        <v>0</v>
      </c>
      <c r="BF253" s="527">
        <f>IF(ISNA(VLOOKUP($N253,Veg_Parameters!$A$3:$N$65,4,FALSE)),0,(VLOOKUP($N253,Veg_Parameters!$A$3:$N$65,4,FALSE)))</f>
        <v>0</v>
      </c>
      <c r="BG253" s="527">
        <f>AH253*(IF(ISNA(VLOOKUP($N253,Veg_Parameters!$A$3:$N$65,7,FALSE)),0, (VLOOKUP($N253,Veg_Parameters!$A$3:$N$65,7,FALSE))))</f>
        <v>0</v>
      </c>
      <c r="BH253" s="527">
        <f>IF(ISNA(VLOOKUP($N253,Veg_Parameters!$A$3:$N$65,6,FALSE)), 0, (VLOOKUP($N253,Veg_Parameters!$A$3:$N$65,6,FALSE)))</f>
        <v>0</v>
      </c>
      <c r="BI253" s="529">
        <f t="shared" ref="BI253:BI277" si="378">IF($O$7=1,O253+$O$8,O253)</f>
        <v>20</v>
      </c>
      <c r="BJ253" s="529">
        <f>IF(BE253&gt;0, BF253*(1-EXP(-BE253*BI253/BF253)), 0)</f>
        <v>0</v>
      </c>
      <c r="BK253" s="529">
        <f t="shared" ref="BK253:BK277" si="379">IF(P253&gt;0, P253*0.3048, BJ253)</f>
        <v>0</v>
      </c>
      <c r="BL253" s="530">
        <f>IF(BG253&gt;0, BH253*(1-EXP(-BG253*BI253/BH253)), 0)</f>
        <v>0</v>
      </c>
      <c r="BM253" s="527" t="s">
        <v>3</v>
      </c>
      <c r="BN253" s="527">
        <f>IF(ISNA(VLOOKUP(N253,Veg_Parameters!$A$3:$N$65,8,FALSE)), 0, (VLOOKUP($N253,Veg_Parameters!$A$3:$N$65,8,FALSE)))</f>
        <v>0</v>
      </c>
      <c r="BO253" s="527">
        <f>AH253*(IF(ISNA(VLOOKUP($N253,Veg_Parameters!$A$3:$N$65,9,FALSE)), 0, (VLOOKUP($N253,Veg_Parameters!$A$3:$N$65,9,FALSE))))</f>
        <v>0</v>
      </c>
      <c r="BP253" s="527" t="str">
        <f>IF(ISBLANK(N253),"0",VLOOKUP($N253,Veg_Parameters!$A$4:$U$65,21,))</f>
        <v>0</v>
      </c>
      <c r="BQ253" s="529">
        <f>IF(BO253&gt;0, BN253*(1-EXP(-BO253*BI253/BN253)),0)</f>
        <v>0</v>
      </c>
      <c r="BR253" s="529">
        <f>PI()*(0.5*BQ253)^2</f>
        <v>0</v>
      </c>
      <c r="BS253" s="529">
        <f t="shared" ref="BS253:BS277" si="380">IF(BR253*Q253*($D253/1000)&lt;$U253, BR253*Q253*($D253/1000), $U253)</f>
        <v>0</v>
      </c>
      <c r="BT253" s="529">
        <f>+IF(BK253&gt;4.6,BS253,0)</f>
        <v>0</v>
      </c>
      <c r="BU253" s="529">
        <f>IF(AND(BK253&lt;4.6,BK253&gt;0.9),BS253,IF(BK253&gt;4.6,(0.5*BS253),0))</f>
        <v>0</v>
      </c>
      <c r="BV253" s="529">
        <f>IF(AND(BK253&gt;0,BK253&lt;0.9),BS253,IF(AND(BK253&gt;0.9,BK253&lt;4.6),BS253*0.5,IF(BK253&gt;4.6,(BS253*0.25),0)))</f>
        <v>0</v>
      </c>
      <c r="BW253" s="532" t="str">
        <f t="shared" ref="BW253:BW277" si="381">IF(AP253&gt;4.57,I253,"")</f>
        <v/>
      </c>
      <c r="BX253" s="532" t="str">
        <f t="shared" ref="BX253:BX277" si="382">IF(BK253&gt;4.57,N253,"")</f>
        <v/>
      </c>
      <c r="BY253" s="532" t="str">
        <f t="shared" ref="BY253:BY277" si="383">IF((AND(AP253&gt;0.76,AP253&lt;4.6)),I253,"")</f>
        <v/>
      </c>
      <c r="BZ253" s="532" t="str">
        <f t="shared" ref="BZ253:BZ277" si="384">IF((AND(BK253&gt;0.76,BK253&lt;4.6)),N253,"")</f>
        <v/>
      </c>
      <c r="CA253" s="532">
        <f t="shared" ref="CA253:CA277" si="385">IF(ISBLANK(N253),0,(BS253*BP253))</f>
        <v>0</v>
      </c>
      <c r="CB253" s="533"/>
      <c r="CC253" s="624">
        <f t="shared" ref="CC253:CC277" si="386">IF(ISERROR(IF((AY253+BS253)&lt;$U253,(AY253*AQ253+BS253*BL253),(((AQ253*AY253+BL253*BS253)/(AY253+BS253))*$U253))),0,IF((AY253+BS253)&lt;$U253,(AY253*AQ253+BS253*BL253),(((AQ253*AY253+BL253*BS253)/(AY253+BS253))*$U253)))</f>
        <v>0</v>
      </c>
      <c r="CD253" s="534">
        <f t="shared" ref="CD253:CD277" si="387">IF(ISERROR(IF((AZ253+BT253)&lt;$U253,(AQ253*AZ253+BT253*BL253),(((AQ253*AZ253+BL253*BT253)/(AZ253+BT253))*$U253))),0,IF((AZ253+BT253)&lt;$U253,(AQ253*AZ253+BT253*BL253),(((AQ253*AZ253+BL253*BT253)/(AZ253+BT253))*$U253)))</f>
        <v>0</v>
      </c>
      <c r="CE253" s="534">
        <f t="shared" ref="CE253:CE277" si="388">IF(ISERROR(IF((BA253+BU253)&lt;$U253,(AQ253*BA253+BL253*BU253),(((AQ253*BA253+BL253*BU253)/(BA253+BU253))*$U253))),0,IF((BA253+BU253)&lt;$U253,(AQ253*BA253+BL253*BU253),(((AQ253*BA253+BL253*BU253)/(BA253+BU253))*$U253)))</f>
        <v>0</v>
      </c>
      <c r="CF253" s="534">
        <f t="shared" ref="CF253:CF277" si="389">+IF(ISBLANK(A253),0,IF((BB253+BV253+(G253/100)*U253)&gt;U253,U253,(BB253+BV253+(G253/100)*U253)))</f>
        <v>0</v>
      </c>
      <c r="CG253" s="534"/>
      <c r="CH253" s="534"/>
      <c r="CI253" s="534">
        <f>BC253+CA253</f>
        <v>0</v>
      </c>
      <c r="CL253" s="534">
        <f>IF(ISNA(VLOOKUP(I253,Veg_Parameters!$A$3:$N$65,13,FALSE)),0,(VLOOKUP(I253,Veg_Parameters!$A$3:$N$65,13,FALSE)))</f>
        <v>0</v>
      </c>
      <c r="CM253" s="534">
        <f>+IF(ISBLANK(A253),0,IF(CL253="H",BB253,0))</f>
        <v>0</v>
      </c>
      <c r="CN253" s="534">
        <f>IF(ISNA(VLOOKUP(N253,Veg_Parameters!$A$3:$N$65,13,FALSE)),0,(VLOOKUP(N253,Veg_Parameters!$A$3:$N$65,13,FALSE)))</f>
        <v>0</v>
      </c>
      <c r="CO253" s="523">
        <f>+IF(ISBLANK(A253),0, IF(CN253="H", BV253, 0))</f>
        <v>0</v>
      </c>
    </row>
    <row r="254" spans="1:93" x14ac:dyDescent="0.2">
      <c r="A254" s="230"/>
      <c r="B254" s="171" t="str">
        <f>IF(ISBLANK(A254),"",$B$253)</f>
        <v/>
      </c>
      <c r="C254" s="230"/>
      <c r="D254" s="169"/>
      <c r="E254" s="165"/>
      <c r="F254" s="165"/>
      <c r="G254" s="165"/>
      <c r="H254" s="165"/>
      <c r="I254" s="166"/>
      <c r="J254" s="167"/>
      <c r="K254" s="166"/>
      <c r="L254" s="166"/>
      <c r="M254" s="167"/>
      <c r="N254" s="166"/>
      <c r="O254" s="166"/>
      <c r="P254" s="167"/>
      <c r="Q254" s="167"/>
      <c r="R254" s="167"/>
      <c r="S254" s="222" t="str">
        <f>IF(ISBLANK(A254),"",IF(ISNA(VLOOKUP(I254,Veg_Parameters!$A$3:$N$65,3,FALSE)),0,(VLOOKUP(I254,Veg_Parameters!$A$3:$N$65,3,FALSE))))</f>
        <v/>
      </c>
      <c r="T254" s="222" t="str">
        <f>IF(ISBLANK(N254),"",IF(ISNA(VLOOKUP(N254,Veg_Parameters!$A$3:$N$65,3,FALSE)),0,(VLOOKUP(N254,Veg_Parameters!$A$3:$N$65,3,FALSE))))</f>
        <v/>
      </c>
      <c r="U254" s="523">
        <f t="shared" ref="U254:U277" si="390">IF(ISBLANK(A254),0,0.092903*D254)</f>
        <v>0</v>
      </c>
      <c r="V254" s="523">
        <f t="shared" si="366"/>
        <v>0</v>
      </c>
      <c r="W254" s="524">
        <f>IF(ISBLANK(A254),0,IF(ISNA(VLOOKUP($I254,Veg_Parameters!$A$3:$N$65,10,FALSE)),0,(VLOOKUP($I254,Veg_Parameters!$A$3:$N$65,10,FALSE))))</f>
        <v>0</v>
      </c>
      <c r="X254" s="524">
        <f>IF(ISBLANK(A254),0,IF(ISNA(VLOOKUP($I254,Veg_Parameters!$A$3:$N$65,11,FALSE)),0,(VLOOKUP($I254,Veg_Parameters!$A$3:$N$65,11,FALSE))))</f>
        <v>0</v>
      </c>
      <c r="Y254" s="524">
        <f>IF(ISBLANK(A254),0,IF(ISNA(VLOOKUP($I254,Veg_Parameters!$A$3:$N$65,12,FALSE)),0,(VLOOKUP($I254,Veg_Parameters!$A$3:$N$65,12,FALSE))))</f>
        <v>0</v>
      </c>
      <c r="Z254" s="525">
        <f t="shared" si="367"/>
        <v>0</v>
      </c>
      <c r="AA254" s="525">
        <f t="shared" si="368"/>
        <v>0</v>
      </c>
      <c r="AB254" s="525">
        <f t="shared" si="369"/>
        <v>0</v>
      </c>
      <c r="AC254" s="524">
        <f>IF(ISBLANK(N254),0,IF(ISNA(VLOOKUP($N254,Veg_Parameters!$A$3:$N$65,10,FALSE)),0,(VLOOKUP($N254,Veg_Parameters!$A$3:$N$65,10,FALSE))))</f>
        <v>0</v>
      </c>
      <c r="AD254" s="524">
        <f>IF(ISBLANK(N254),0,IF(ISNA(VLOOKUP($N254,Veg_Parameters!$A$3:$N$65,11,FALSE)),0,(VLOOKUP($N254,Veg_Parameters!$A$3:$N$65,11,FALSE))))</f>
        <v>0</v>
      </c>
      <c r="AE254" s="524">
        <f>IF(ISBLANK(N254), 0, IF(ISNA(VLOOKUP($N254,Veg_Parameters!$A$3:$N$65,12,FALSE)),0,(VLOOKUP($N254,Veg_Parameters!$A$3:$N$65,12,FALSE))))</f>
        <v>0</v>
      </c>
      <c r="AF254" s="523">
        <f t="shared" si="370"/>
        <v>0</v>
      </c>
      <c r="AG254" s="523">
        <f t="shared" si="371"/>
        <v>0</v>
      </c>
      <c r="AH254" s="523">
        <f t="shared" si="372"/>
        <v>0</v>
      </c>
      <c r="AI254" s="526"/>
      <c r="AJ254" s="527">
        <f>AB254*(IF(ISNA(VLOOKUP($I254,Veg_Parameters!$A$3:$N$65,5,FALSE)),0,(VLOOKUP($I254,Veg_Parameters!$A$3:$N$65,5,FALSE))))</f>
        <v>0</v>
      </c>
      <c r="AK254" s="527">
        <f>IF(ISNA(VLOOKUP($I254,Veg_Parameters!$A$3:$N$65,4,FALSE)),0,(VLOOKUP($I254,Veg_Parameters!$A$3:$N$65,4,FALSE)))</f>
        <v>0</v>
      </c>
      <c r="AL254" s="527">
        <f>AB254*(IF(ISNA(VLOOKUP($I254,Veg_Parameters!$A$3:$N$65,7,FALSE)),0, (VLOOKUP($I254,Veg_Parameters!$A$3:$N$65,7,FALSE))))</f>
        <v>0</v>
      </c>
      <c r="AM254" s="528">
        <f>IF(ISNA(VLOOKUP($I254,Veg_Parameters!$A$3:$N$65,6,FALSE)), 0, (VLOOKUP($I254,Veg_Parameters!$A$3:$N$65,6,FALSE)))</f>
        <v>0</v>
      </c>
      <c r="AN254" s="529">
        <f t="shared" si="373"/>
        <v>20</v>
      </c>
      <c r="AO254" s="529">
        <f t="shared" si="374"/>
        <v>0</v>
      </c>
      <c r="AP254" s="529">
        <f t="shared" si="375"/>
        <v>0</v>
      </c>
      <c r="AQ254" s="530">
        <f t="shared" ref="AQ254:AQ277" si="391">IF(AL254&gt;0, AM254*(1-EXP(-AL254*AN254/AM254)), 0)</f>
        <v>0</v>
      </c>
      <c r="AR254" s="527" t="s">
        <v>3</v>
      </c>
      <c r="AS254" s="527">
        <f>IF(ISNA(VLOOKUP($I254,Veg_Parameters!$A$3:$N$65,8,FALSE)), 0, (VLOOKUP($I254,Veg_Parameters!$A$3:$N$65,8,FALSE)))</f>
        <v>0</v>
      </c>
      <c r="AT254" s="527">
        <f>AB254*(IF(ISNA(VLOOKUP($I254,Veg_Parameters!$A$3:$N$65,9,FALSE)), 0, (VLOOKUP($I254,Veg_Parameters!$A$3:$N$65,9,FALSE))))</f>
        <v>0</v>
      </c>
      <c r="AU254" s="527">
        <f>IF(ISBLANK(A254),0,VLOOKUP($I254,Veg_Parameters!$A$4:$U$65,21,))</f>
        <v>0</v>
      </c>
      <c r="AV254" s="527">
        <f t="shared" ref="AV254:AV277" si="392">IF(OR(I254=3500,I254=3600),U254,0)</f>
        <v>0</v>
      </c>
      <c r="AW254" s="529">
        <f t="shared" ref="AW254:AW277" si="393">IF(AT254&gt;0, AS254*(1-EXP(-AT254*AN254/AS254)),0)</f>
        <v>0</v>
      </c>
      <c r="AX254" s="529">
        <f t="shared" ref="AX254:AX277" si="394">PI()*(0.5*AW254)^2</f>
        <v>0</v>
      </c>
      <c r="AY254" s="529">
        <f t="shared" si="376"/>
        <v>0</v>
      </c>
      <c r="AZ254" s="529">
        <f t="shared" ref="AZ254:AZ277" si="395">+IF(AP254&gt;4.6,AY254,0)</f>
        <v>0</v>
      </c>
      <c r="BA254" s="529">
        <f t="shared" ref="BA254:BA277" si="396">IF(AND(AP254&gt;0.9,AP254&lt;4.6),AY254,IF(AP254&gt;4.6,0.5*AY254,0))</f>
        <v>0</v>
      </c>
      <c r="BB254" s="529">
        <f t="shared" ref="BB254:BB277" si="397">IF(AND(AP254&gt;0,AP254&lt;0.9),AY254,IF(AND(AP254&gt;0.9,AP254&lt;4.6),AY254*0.5,IF(AP254&gt;4.6,AY254*0.25,0)))</f>
        <v>0</v>
      </c>
      <c r="BC254" s="529">
        <f t="shared" si="377"/>
        <v>0</v>
      </c>
      <c r="BD254" s="531"/>
      <c r="BE254" s="527">
        <f>AH254*(IF(ISNA(VLOOKUP($N254,Veg_Parameters!$A$3:$N$65,5,FALSE)),0,(VLOOKUP($N254,Veg_Parameters!$A$3:$N$65,5,FALSE))))</f>
        <v>0</v>
      </c>
      <c r="BF254" s="527">
        <f>IF(ISNA(VLOOKUP($N254,Veg_Parameters!$A$3:$N$65,4,FALSE)),0,(VLOOKUP($N254,Veg_Parameters!$A$3:$N$65,4,FALSE)))</f>
        <v>0</v>
      </c>
      <c r="BG254" s="527">
        <f>AH254*(IF(ISNA(VLOOKUP($N254,Veg_Parameters!$A$3:$N$65,7,FALSE)),0, (VLOOKUP($N254,Veg_Parameters!$A$3:$N$65,7,FALSE))))</f>
        <v>0</v>
      </c>
      <c r="BH254" s="527">
        <f>IF(ISNA(VLOOKUP($N254,Veg_Parameters!$A$3:$N$65,6,FALSE)), 0, (VLOOKUP($N254,Veg_Parameters!$A$3:$N$65,6,FALSE)))</f>
        <v>0</v>
      </c>
      <c r="BI254" s="529">
        <f t="shared" si="378"/>
        <v>20</v>
      </c>
      <c r="BJ254" s="529">
        <f t="shared" ref="BJ254:BJ277" si="398">IF(BE254&gt;0, BF254*(1-EXP(-BE254*BI254/BF254)), 0)</f>
        <v>0</v>
      </c>
      <c r="BK254" s="529">
        <f t="shared" si="379"/>
        <v>0</v>
      </c>
      <c r="BL254" s="530">
        <f t="shared" ref="BL254:BL277" si="399">IF(BG254&gt;0, BH254*(1-EXP(-BG254*BI254/BH254)), 0)</f>
        <v>0</v>
      </c>
      <c r="BM254" s="527" t="s">
        <v>3</v>
      </c>
      <c r="BN254" s="527">
        <f>IF(ISNA(VLOOKUP(N254,Veg_Parameters!$A$3:$N$65,8,FALSE)), 0, (VLOOKUP($N254,Veg_Parameters!$A$3:$N$65,8,FALSE)))</f>
        <v>0</v>
      </c>
      <c r="BO254" s="527">
        <f>AH254*(IF(ISNA(VLOOKUP($N254,Veg_Parameters!$A$3:$N$65,9,FALSE)), 0, (VLOOKUP($N254,Veg_Parameters!$A$3:$N$65,9,FALSE))))</f>
        <v>0</v>
      </c>
      <c r="BP254" s="527" t="str">
        <f>IF(ISBLANK(N254),"0",VLOOKUP($N254,Veg_Parameters!$A$4:$U$65,21,))</f>
        <v>0</v>
      </c>
      <c r="BQ254" s="529">
        <f t="shared" ref="BQ254:BQ277" si="400">IF(BO254&gt;0, BN254*(1-EXP(-BO254*BI254/BN254)),0)</f>
        <v>0</v>
      </c>
      <c r="BR254" s="529">
        <f t="shared" ref="BR254:BR277" si="401">PI()*(0.5*BQ254)^2</f>
        <v>0</v>
      </c>
      <c r="BS254" s="529">
        <f t="shared" si="380"/>
        <v>0</v>
      </c>
      <c r="BT254" s="529">
        <f t="shared" ref="BT254:BT277" si="402">+IF(BK254&gt;4.6,BS254,0)</f>
        <v>0</v>
      </c>
      <c r="BU254" s="529">
        <f t="shared" ref="BU254:BU277" si="403">IF(AND(BK254&lt;4.6,BK254&gt;0.9),BS254,IF(BK254&gt;4.6,(0.5*BS254),0))</f>
        <v>0</v>
      </c>
      <c r="BV254" s="529">
        <f t="shared" ref="BV254:BV277" si="404">IF(AND(BK254&gt;0,BK254&lt;0.9),BS254,IF(AND(BK254&gt;0.9,BK254&lt;4.6),BS254*0.5,IF(BK254&gt;4.6,(BS254*0.25),0)))</f>
        <v>0</v>
      </c>
      <c r="BW254" s="532" t="str">
        <f t="shared" si="381"/>
        <v/>
      </c>
      <c r="BX254" s="532" t="str">
        <f t="shared" si="382"/>
        <v/>
      </c>
      <c r="BY254" s="532" t="str">
        <f t="shared" si="383"/>
        <v/>
      </c>
      <c r="BZ254" s="532" t="str">
        <f t="shared" si="384"/>
        <v/>
      </c>
      <c r="CA254" s="532">
        <f t="shared" si="385"/>
        <v>0</v>
      </c>
      <c r="CB254" s="533"/>
      <c r="CC254" s="624">
        <f t="shared" si="386"/>
        <v>0</v>
      </c>
      <c r="CD254" s="534">
        <f t="shared" si="387"/>
        <v>0</v>
      </c>
      <c r="CE254" s="534">
        <f t="shared" si="388"/>
        <v>0</v>
      </c>
      <c r="CF254" s="534">
        <f t="shared" si="389"/>
        <v>0</v>
      </c>
      <c r="CG254" s="534"/>
      <c r="CH254" s="534"/>
      <c r="CI254" s="534">
        <f t="shared" ref="CI254:CI277" si="405">BC254+CA254</f>
        <v>0</v>
      </c>
      <c r="CL254" s="534">
        <f>IF(ISNA(VLOOKUP(I254,Veg_Parameters!$A$3:$N$65,13,FALSE)),0,(VLOOKUP(I254,Veg_Parameters!$A$3:$N$65,13,FALSE)))</f>
        <v>0</v>
      </c>
      <c r="CM254" s="534">
        <f t="shared" ref="CM254:CM277" si="406">+IF(ISBLANK(A254),0,IF(CL254="H",BB254,0))</f>
        <v>0</v>
      </c>
      <c r="CN254" s="534">
        <f>IF(ISNA(VLOOKUP(N254,Veg_Parameters!$A$3:$N$65,13,FALSE)),0,(VLOOKUP(N254,Veg_Parameters!$A$3:$N$65,13,FALSE)))</f>
        <v>0</v>
      </c>
      <c r="CO254" s="523">
        <f t="shared" ref="CO254:CO277" si="407">+IF(ISBLANK(A254),0, IF(CN254="H", BV254, 0))</f>
        <v>0</v>
      </c>
    </row>
    <row r="255" spans="1:93" x14ac:dyDescent="0.2">
      <c r="A255" s="230"/>
      <c r="B255" s="171" t="str">
        <f t="shared" ref="B255:B277" si="408">IF(ISBLANK(A255),"",$B$253)</f>
        <v/>
      </c>
      <c r="C255" s="230"/>
      <c r="D255" s="169"/>
      <c r="E255" s="165"/>
      <c r="F255" s="165"/>
      <c r="G255" s="165"/>
      <c r="H255" s="165"/>
      <c r="I255" s="168"/>
      <c r="J255" s="167"/>
      <c r="K255" s="166"/>
      <c r="L255" s="166"/>
      <c r="M255" s="167"/>
      <c r="N255" s="168"/>
      <c r="O255" s="168"/>
      <c r="P255" s="167"/>
      <c r="Q255" s="167"/>
      <c r="R255" s="167"/>
      <c r="S255" s="222" t="str">
        <f>IF(ISBLANK(A255),"",IF(ISNA(VLOOKUP(I255,Veg_Parameters!$A$3:$N$65,3,FALSE)),0,(VLOOKUP(I255,Veg_Parameters!$A$3:$N$65,3,FALSE))))</f>
        <v/>
      </c>
      <c r="T255" s="222" t="str">
        <f>IF(ISBLANK(N255),"",IF(ISNA(VLOOKUP(N255,Veg_Parameters!$A$3:$N$65,3,FALSE)),0,(VLOOKUP(N255,Veg_Parameters!$A$3:$N$65,3,FALSE))))</f>
        <v/>
      </c>
      <c r="U255" s="523">
        <f t="shared" si="390"/>
        <v>0</v>
      </c>
      <c r="V255" s="523">
        <f t="shared" si="366"/>
        <v>0</v>
      </c>
      <c r="W255" s="524">
        <f>IF(ISBLANK(A255),0,IF(ISNA(VLOOKUP($I255,Veg_Parameters!$A$3:$N$65,10,FALSE)),0,(VLOOKUP($I255,Veg_Parameters!$A$3:$N$65,10,FALSE))))</f>
        <v>0</v>
      </c>
      <c r="X255" s="524">
        <f>IF(ISBLANK(A255),0,IF(ISNA(VLOOKUP($I255,Veg_Parameters!$A$3:$N$65,11,FALSE)),0,(VLOOKUP($I255,Veg_Parameters!$A$3:$N$65,11,FALSE))))</f>
        <v>0</v>
      </c>
      <c r="Y255" s="524">
        <f>IF(ISBLANK(A255),0,IF(ISNA(VLOOKUP($I255,Veg_Parameters!$A$3:$N$65,12,FALSE)),0,(VLOOKUP($I255,Veg_Parameters!$A$3:$N$65,12,FALSE))))</f>
        <v>0</v>
      </c>
      <c r="Z255" s="525">
        <f t="shared" si="367"/>
        <v>0</v>
      </c>
      <c r="AA255" s="525">
        <f t="shared" si="368"/>
        <v>0</v>
      </c>
      <c r="AB255" s="525">
        <f t="shared" si="369"/>
        <v>0</v>
      </c>
      <c r="AC255" s="524">
        <f>IF(ISBLANK(N255),0,IF(ISNA(VLOOKUP($N255,Veg_Parameters!$A$3:$N$65,10,FALSE)),0,(VLOOKUP($N255,Veg_Parameters!$A$3:$N$65,10,FALSE))))</f>
        <v>0</v>
      </c>
      <c r="AD255" s="524">
        <f>IF(ISBLANK(N255),0,IF(ISNA(VLOOKUP($N255,Veg_Parameters!$A$3:$N$65,11,FALSE)),0,(VLOOKUP($N255,Veg_Parameters!$A$3:$N$65,11,FALSE))))</f>
        <v>0</v>
      </c>
      <c r="AE255" s="524">
        <f>IF(ISBLANK(N255), 0, IF(ISNA(VLOOKUP($N255,Veg_Parameters!$A$3:$N$65,12,FALSE)),0,(VLOOKUP($N255,Veg_Parameters!$A$3:$N$65,12,FALSE))))</f>
        <v>0</v>
      </c>
      <c r="AF255" s="523">
        <f t="shared" si="370"/>
        <v>0</v>
      </c>
      <c r="AG255" s="523">
        <f t="shared" si="371"/>
        <v>0</v>
      </c>
      <c r="AH255" s="523">
        <f t="shared" si="372"/>
        <v>0</v>
      </c>
      <c r="AI255" s="526"/>
      <c r="AJ255" s="527">
        <f>AB255*(IF(ISNA(VLOOKUP($I255,Veg_Parameters!$A$3:$N$65,5,FALSE)),0,(VLOOKUP($I255,Veg_Parameters!$A$3:$N$65,5,FALSE))))</f>
        <v>0</v>
      </c>
      <c r="AK255" s="527">
        <f>IF(ISNA(VLOOKUP($I255,Veg_Parameters!$A$3:$N$65,4,FALSE)),0,(VLOOKUP($I255,Veg_Parameters!$A$3:$N$65,4,FALSE)))</f>
        <v>0</v>
      </c>
      <c r="AL255" s="527">
        <f>AB255*(IF(ISNA(VLOOKUP($I255,Veg_Parameters!$A$3:$N$65,7,FALSE)),0, (VLOOKUP($I255,Veg_Parameters!$A$3:$N$65,7,FALSE))))</f>
        <v>0</v>
      </c>
      <c r="AM255" s="528">
        <f>IF(ISNA(VLOOKUP($I255,Veg_Parameters!$A$3:$N$65,6,FALSE)), 0, (VLOOKUP($I255,Veg_Parameters!$A$3:$N$65,6,FALSE)))</f>
        <v>0</v>
      </c>
      <c r="AN255" s="529">
        <f t="shared" si="373"/>
        <v>20</v>
      </c>
      <c r="AO255" s="529">
        <f t="shared" si="374"/>
        <v>0</v>
      </c>
      <c r="AP255" s="529">
        <f t="shared" si="375"/>
        <v>0</v>
      </c>
      <c r="AQ255" s="530">
        <f t="shared" si="391"/>
        <v>0</v>
      </c>
      <c r="AR255" s="527" t="s">
        <v>3</v>
      </c>
      <c r="AS255" s="527">
        <f>IF(ISNA(VLOOKUP($I255,Veg_Parameters!$A$3:$N$65,8,FALSE)), 0, (VLOOKUP($I255,Veg_Parameters!$A$3:$N$65,8,FALSE)))</f>
        <v>0</v>
      </c>
      <c r="AT255" s="527">
        <f>AB255*(IF(ISNA(VLOOKUP($I255,Veg_Parameters!$A$3:$N$65,9,FALSE)), 0, (VLOOKUP($I255,Veg_Parameters!$A$3:$N$65,9,FALSE))))</f>
        <v>0</v>
      </c>
      <c r="AU255" s="527">
        <f>IF(ISBLANK(A255),0,VLOOKUP($I255,Veg_Parameters!$A$4:$U$65,21,))</f>
        <v>0</v>
      </c>
      <c r="AV255" s="527">
        <f t="shared" si="392"/>
        <v>0</v>
      </c>
      <c r="AW255" s="529">
        <f t="shared" si="393"/>
        <v>0</v>
      </c>
      <c r="AX255" s="529">
        <f t="shared" si="394"/>
        <v>0</v>
      </c>
      <c r="AY255" s="529">
        <f t="shared" si="376"/>
        <v>0</v>
      </c>
      <c r="AZ255" s="529">
        <f t="shared" si="395"/>
        <v>0</v>
      </c>
      <c r="BA255" s="529">
        <f t="shared" si="396"/>
        <v>0</v>
      </c>
      <c r="BB255" s="529">
        <f t="shared" si="397"/>
        <v>0</v>
      </c>
      <c r="BC255" s="529">
        <f t="shared" si="377"/>
        <v>0</v>
      </c>
      <c r="BD255" s="531"/>
      <c r="BE255" s="527">
        <f>AH255*(IF(ISNA(VLOOKUP($N255,Veg_Parameters!$A$3:$N$65,5,FALSE)),0,(VLOOKUP($N255,Veg_Parameters!$A$3:$N$65,5,FALSE))))</f>
        <v>0</v>
      </c>
      <c r="BF255" s="527">
        <f>IF(ISNA(VLOOKUP($N255,Veg_Parameters!$A$3:$N$65,4,FALSE)),0,(VLOOKUP($N255,Veg_Parameters!$A$3:$N$65,4,FALSE)))</f>
        <v>0</v>
      </c>
      <c r="BG255" s="527">
        <f>AH255*(IF(ISNA(VLOOKUP($N255,Veg_Parameters!$A$3:$N$65,7,FALSE)),0, (VLOOKUP($N255,Veg_Parameters!$A$3:$N$65,7,FALSE))))</f>
        <v>0</v>
      </c>
      <c r="BH255" s="527">
        <f>IF(ISNA(VLOOKUP($N255,Veg_Parameters!$A$3:$N$65,6,FALSE)), 0, (VLOOKUP($N255,Veg_Parameters!$A$3:$N$65,6,FALSE)))</f>
        <v>0</v>
      </c>
      <c r="BI255" s="529">
        <f t="shared" si="378"/>
        <v>20</v>
      </c>
      <c r="BJ255" s="529">
        <f t="shared" si="398"/>
        <v>0</v>
      </c>
      <c r="BK255" s="529">
        <f t="shared" si="379"/>
        <v>0</v>
      </c>
      <c r="BL255" s="530">
        <f t="shared" si="399"/>
        <v>0</v>
      </c>
      <c r="BM255" s="527" t="s">
        <v>3</v>
      </c>
      <c r="BN255" s="527">
        <f>IF(ISNA(VLOOKUP(N255,Veg_Parameters!$A$3:$N$65,8,FALSE)), 0, (VLOOKUP($N255,Veg_Parameters!$A$3:$N$65,8,FALSE)))</f>
        <v>0</v>
      </c>
      <c r="BO255" s="527">
        <f>AH255*(IF(ISNA(VLOOKUP($N255,Veg_Parameters!$A$3:$N$65,9,FALSE)), 0, (VLOOKUP($N255,Veg_Parameters!$A$3:$N$65,9,FALSE))))</f>
        <v>0</v>
      </c>
      <c r="BP255" s="527" t="str">
        <f>IF(ISBLANK(N255),"0",VLOOKUP($N255,Veg_Parameters!$A$4:$U$65,21,))</f>
        <v>0</v>
      </c>
      <c r="BQ255" s="529">
        <f t="shared" si="400"/>
        <v>0</v>
      </c>
      <c r="BR255" s="529">
        <f t="shared" si="401"/>
        <v>0</v>
      </c>
      <c r="BS255" s="529">
        <f t="shared" si="380"/>
        <v>0</v>
      </c>
      <c r="BT255" s="529">
        <f t="shared" si="402"/>
        <v>0</v>
      </c>
      <c r="BU255" s="529">
        <f t="shared" si="403"/>
        <v>0</v>
      </c>
      <c r="BV255" s="529">
        <f t="shared" si="404"/>
        <v>0</v>
      </c>
      <c r="BW255" s="532" t="str">
        <f t="shared" si="381"/>
        <v/>
      </c>
      <c r="BX255" s="532" t="str">
        <f t="shared" si="382"/>
        <v/>
      </c>
      <c r="BY255" s="532" t="str">
        <f t="shared" si="383"/>
        <v/>
      </c>
      <c r="BZ255" s="532" t="str">
        <f t="shared" si="384"/>
        <v/>
      </c>
      <c r="CA255" s="532">
        <f t="shared" si="385"/>
        <v>0</v>
      </c>
      <c r="CB255" s="533"/>
      <c r="CC255" s="624">
        <f t="shared" si="386"/>
        <v>0</v>
      </c>
      <c r="CD255" s="534">
        <f t="shared" si="387"/>
        <v>0</v>
      </c>
      <c r="CE255" s="534">
        <f t="shared" si="388"/>
        <v>0</v>
      </c>
      <c r="CF255" s="534">
        <f t="shared" si="389"/>
        <v>0</v>
      </c>
      <c r="CG255" s="534"/>
      <c r="CH255" s="534"/>
      <c r="CI255" s="534">
        <f t="shared" si="405"/>
        <v>0</v>
      </c>
      <c r="CL255" s="534">
        <f>IF(ISNA(VLOOKUP(I255,Veg_Parameters!$A$3:$N$65,13,FALSE)),0,(VLOOKUP(I255,Veg_Parameters!$A$3:$N$65,13,FALSE)))</f>
        <v>0</v>
      </c>
      <c r="CM255" s="534">
        <f t="shared" si="406"/>
        <v>0</v>
      </c>
      <c r="CN255" s="534">
        <f>IF(ISNA(VLOOKUP(N255,Veg_Parameters!$A$3:$N$65,13,FALSE)),0,(VLOOKUP(N255,Veg_Parameters!$A$3:$N$65,13,FALSE)))</f>
        <v>0</v>
      </c>
      <c r="CO255" s="523">
        <f t="shared" si="407"/>
        <v>0</v>
      </c>
    </row>
    <row r="256" spans="1:93" x14ac:dyDescent="0.2">
      <c r="A256" s="230"/>
      <c r="B256" s="171" t="str">
        <f t="shared" si="408"/>
        <v/>
      </c>
      <c r="C256" s="230"/>
      <c r="D256" s="169"/>
      <c r="E256" s="165"/>
      <c r="F256" s="165"/>
      <c r="G256" s="165"/>
      <c r="H256" s="165"/>
      <c r="I256" s="168"/>
      <c r="J256" s="167"/>
      <c r="K256" s="168"/>
      <c r="L256" s="167"/>
      <c r="M256" s="167"/>
      <c r="N256" s="168"/>
      <c r="O256" s="168"/>
      <c r="P256" s="167"/>
      <c r="Q256" s="167"/>
      <c r="R256" s="167"/>
      <c r="S256" s="222" t="str">
        <f>IF(ISBLANK(A256),"",IF(ISNA(VLOOKUP(I256,Veg_Parameters!$A$3:$N$65,3,FALSE)),0,(VLOOKUP(I256,Veg_Parameters!$A$3:$N$65,3,FALSE))))</f>
        <v/>
      </c>
      <c r="T256" s="222" t="str">
        <f>IF(ISBLANK(N256),"",IF(ISNA(VLOOKUP(N256,Veg_Parameters!$A$3:$N$65,3,FALSE)),0,(VLOOKUP(N256,Veg_Parameters!$A$3:$N$65,3,FALSE))))</f>
        <v/>
      </c>
      <c r="U256" s="523">
        <f t="shared" si="390"/>
        <v>0</v>
      </c>
      <c r="V256" s="523">
        <f t="shared" si="366"/>
        <v>0</v>
      </c>
      <c r="W256" s="524">
        <f>IF(ISBLANK(A256),0,IF(ISNA(VLOOKUP($I256,Veg_Parameters!$A$3:$N$65,10,FALSE)),0,(VLOOKUP($I256,Veg_Parameters!$A$3:$N$65,10,FALSE))))</f>
        <v>0</v>
      </c>
      <c r="X256" s="524">
        <f>IF(ISBLANK(A256),0,IF(ISNA(VLOOKUP($I256,Veg_Parameters!$A$3:$N$65,11,FALSE)),0,(VLOOKUP($I256,Veg_Parameters!$A$3:$N$65,11,FALSE))))</f>
        <v>0</v>
      </c>
      <c r="Y256" s="524">
        <f>IF(ISBLANK(A256),0,IF(ISNA(VLOOKUP($I256,Veg_Parameters!$A$3:$N$65,12,FALSE)),0,(VLOOKUP($I256,Veg_Parameters!$A$3:$N$65,12,FALSE))))</f>
        <v>0</v>
      </c>
      <c r="Z256" s="525">
        <f t="shared" si="367"/>
        <v>0</v>
      </c>
      <c r="AA256" s="525">
        <f t="shared" si="368"/>
        <v>0</v>
      </c>
      <c r="AB256" s="525">
        <f t="shared" si="369"/>
        <v>0</v>
      </c>
      <c r="AC256" s="524">
        <f>IF(ISBLANK(N256),0,IF(ISNA(VLOOKUP($N256,Veg_Parameters!$A$3:$N$65,10,FALSE)),0,(VLOOKUP($N256,Veg_Parameters!$A$3:$N$65,10,FALSE))))</f>
        <v>0</v>
      </c>
      <c r="AD256" s="524">
        <f>IF(ISBLANK(N256),0,IF(ISNA(VLOOKUP($N256,Veg_Parameters!$A$3:$N$65,11,FALSE)),0,(VLOOKUP($N256,Veg_Parameters!$A$3:$N$65,11,FALSE))))</f>
        <v>0</v>
      </c>
      <c r="AE256" s="524">
        <f>IF(ISBLANK(N256), 0, IF(ISNA(VLOOKUP($N256,Veg_Parameters!$A$3:$N$65,12,FALSE)),0,(VLOOKUP($N256,Veg_Parameters!$A$3:$N$65,12,FALSE))))</f>
        <v>0</v>
      </c>
      <c r="AF256" s="523">
        <f t="shared" si="370"/>
        <v>0</v>
      </c>
      <c r="AG256" s="523">
        <f t="shared" si="371"/>
        <v>0</v>
      </c>
      <c r="AH256" s="523">
        <f t="shared" si="372"/>
        <v>0</v>
      </c>
      <c r="AI256" s="526"/>
      <c r="AJ256" s="527">
        <f>AB256*(IF(ISNA(VLOOKUP($I256,Veg_Parameters!$A$3:$N$65,5,FALSE)),0,(VLOOKUP($I256,Veg_Parameters!$A$3:$N$65,5,FALSE))))</f>
        <v>0</v>
      </c>
      <c r="AK256" s="527">
        <f>IF(ISNA(VLOOKUP($I256,Veg_Parameters!$A$3:$N$65,4,FALSE)),0,(VLOOKUP($I256,Veg_Parameters!$A$3:$N$65,4,FALSE)))</f>
        <v>0</v>
      </c>
      <c r="AL256" s="527">
        <f>AB256*(IF(ISNA(VLOOKUP($I256,Veg_Parameters!$A$3:$N$65,7,FALSE)),0, (VLOOKUP($I256,Veg_Parameters!$A$3:$N$65,7,FALSE))))</f>
        <v>0</v>
      </c>
      <c r="AM256" s="528">
        <f>IF(ISNA(VLOOKUP($I256,Veg_Parameters!$A$3:$N$65,6,FALSE)), 0, (VLOOKUP($I256,Veg_Parameters!$A$3:$N$65,6,FALSE)))</f>
        <v>0</v>
      </c>
      <c r="AN256" s="529">
        <f t="shared" si="373"/>
        <v>20</v>
      </c>
      <c r="AO256" s="529">
        <f t="shared" si="374"/>
        <v>0</v>
      </c>
      <c r="AP256" s="529">
        <f t="shared" si="375"/>
        <v>0</v>
      </c>
      <c r="AQ256" s="530">
        <f t="shared" si="391"/>
        <v>0</v>
      </c>
      <c r="AR256" s="527" t="s">
        <v>3</v>
      </c>
      <c r="AS256" s="527">
        <f>IF(ISNA(VLOOKUP($I256,Veg_Parameters!$A$3:$N$65,8,FALSE)), 0, (VLOOKUP($I256,Veg_Parameters!$A$3:$N$65,8,FALSE)))</f>
        <v>0</v>
      </c>
      <c r="AT256" s="527">
        <f>AB256*(IF(ISNA(VLOOKUP($I256,Veg_Parameters!$A$3:$N$65,9,FALSE)), 0, (VLOOKUP($I256,Veg_Parameters!$A$3:$N$65,9,FALSE))))</f>
        <v>0</v>
      </c>
      <c r="AU256" s="527">
        <f>IF(ISBLANK(A256),0,VLOOKUP($I256,Veg_Parameters!$A$4:$U$65,21,))</f>
        <v>0</v>
      </c>
      <c r="AV256" s="527">
        <f t="shared" si="392"/>
        <v>0</v>
      </c>
      <c r="AW256" s="529">
        <f t="shared" si="393"/>
        <v>0</v>
      </c>
      <c r="AX256" s="529">
        <f t="shared" si="394"/>
        <v>0</v>
      </c>
      <c r="AY256" s="529">
        <f t="shared" si="376"/>
        <v>0</v>
      </c>
      <c r="AZ256" s="529">
        <f t="shared" si="395"/>
        <v>0</v>
      </c>
      <c r="BA256" s="529">
        <f t="shared" si="396"/>
        <v>0</v>
      </c>
      <c r="BB256" s="529">
        <f t="shared" si="397"/>
        <v>0</v>
      </c>
      <c r="BC256" s="529">
        <f t="shared" si="377"/>
        <v>0</v>
      </c>
      <c r="BD256" s="531"/>
      <c r="BE256" s="527">
        <f>AH256*(IF(ISNA(VLOOKUP($N256,Veg_Parameters!$A$3:$N$65,5,FALSE)),0,(VLOOKUP($N256,Veg_Parameters!$A$3:$N$65,5,FALSE))))</f>
        <v>0</v>
      </c>
      <c r="BF256" s="527">
        <f>IF(ISNA(VLOOKUP($N256,Veg_Parameters!$A$3:$N$65,4,FALSE)),0,(VLOOKUP($N256,Veg_Parameters!$A$3:$N$65,4,FALSE)))</f>
        <v>0</v>
      </c>
      <c r="BG256" s="527">
        <f>AH256*(IF(ISNA(VLOOKUP($N256,Veg_Parameters!$A$3:$N$65,7,FALSE)),0, (VLOOKUP($N256,Veg_Parameters!$A$3:$N$65,7,FALSE))))</f>
        <v>0</v>
      </c>
      <c r="BH256" s="527">
        <f>IF(ISNA(VLOOKUP($N256,Veg_Parameters!$A$3:$N$65,6,FALSE)), 0, (VLOOKUP($N256,Veg_Parameters!$A$3:$N$65,6,FALSE)))</f>
        <v>0</v>
      </c>
      <c r="BI256" s="529">
        <f t="shared" si="378"/>
        <v>20</v>
      </c>
      <c r="BJ256" s="529">
        <f t="shared" si="398"/>
        <v>0</v>
      </c>
      <c r="BK256" s="529">
        <f t="shared" si="379"/>
        <v>0</v>
      </c>
      <c r="BL256" s="530">
        <f t="shared" si="399"/>
        <v>0</v>
      </c>
      <c r="BM256" s="527" t="s">
        <v>3</v>
      </c>
      <c r="BN256" s="527">
        <f>IF(ISNA(VLOOKUP(N256,Veg_Parameters!$A$3:$N$65,8,FALSE)), 0, (VLOOKUP($N256,Veg_Parameters!$A$3:$N$65,8,FALSE)))</f>
        <v>0</v>
      </c>
      <c r="BO256" s="527">
        <f>AH256*(IF(ISNA(VLOOKUP($N256,Veg_Parameters!$A$3:$N$65,9,FALSE)), 0, (VLOOKUP($N256,Veg_Parameters!$A$3:$N$65,9,FALSE))))</f>
        <v>0</v>
      </c>
      <c r="BP256" s="527" t="str">
        <f>IF(ISBLANK(N256),"0",VLOOKUP($N256,Veg_Parameters!$A$4:$U$65,21,))</f>
        <v>0</v>
      </c>
      <c r="BQ256" s="529">
        <f t="shared" si="400"/>
        <v>0</v>
      </c>
      <c r="BR256" s="529">
        <f t="shared" si="401"/>
        <v>0</v>
      </c>
      <c r="BS256" s="529">
        <f t="shared" si="380"/>
        <v>0</v>
      </c>
      <c r="BT256" s="529">
        <f t="shared" si="402"/>
        <v>0</v>
      </c>
      <c r="BU256" s="529">
        <f t="shared" si="403"/>
        <v>0</v>
      </c>
      <c r="BV256" s="529">
        <f t="shared" si="404"/>
        <v>0</v>
      </c>
      <c r="BW256" s="532" t="str">
        <f t="shared" si="381"/>
        <v/>
      </c>
      <c r="BX256" s="532" t="str">
        <f t="shared" si="382"/>
        <v/>
      </c>
      <c r="BY256" s="532" t="str">
        <f t="shared" si="383"/>
        <v/>
      </c>
      <c r="BZ256" s="532" t="str">
        <f t="shared" si="384"/>
        <v/>
      </c>
      <c r="CA256" s="532">
        <f t="shared" si="385"/>
        <v>0</v>
      </c>
      <c r="CB256" s="533"/>
      <c r="CC256" s="624">
        <f t="shared" si="386"/>
        <v>0</v>
      </c>
      <c r="CD256" s="534">
        <f t="shared" si="387"/>
        <v>0</v>
      </c>
      <c r="CE256" s="534">
        <f t="shared" si="388"/>
        <v>0</v>
      </c>
      <c r="CF256" s="534">
        <f t="shared" si="389"/>
        <v>0</v>
      </c>
      <c r="CG256" s="534"/>
      <c r="CH256" s="534"/>
      <c r="CI256" s="534">
        <f t="shared" si="405"/>
        <v>0</v>
      </c>
      <c r="CL256" s="534">
        <f>IF(ISNA(VLOOKUP(I256,Veg_Parameters!$A$3:$N$65,13,FALSE)),0,(VLOOKUP(I256,Veg_Parameters!$A$3:$N$65,13,FALSE)))</f>
        <v>0</v>
      </c>
      <c r="CM256" s="534">
        <f t="shared" si="406"/>
        <v>0</v>
      </c>
      <c r="CN256" s="534">
        <f>IF(ISNA(VLOOKUP(N256,Veg_Parameters!$A$3:$N$65,13,FALSE)),0,(VLOOKUP(N256,Veg_Parameters!$A$3:$N$65,13,FALSE)))</f>
        <v>0</v>
      </c>
      <c r="CO256" s="523">
        <f t="shared" si="407"/>
        <v>0</v>
      </c>
    </row>
    <row r="257" spans="1:93" x14ac:dyDescent="0.2">
      <c r="A257" s="230"/>
      <c r="B257" s="171" t="str">
        <f t="shared" si="408"/>
        <v/>
      </c>
      <c r="C257" s="230"/>
      <c r="D257" s="169"/>
      <c r="E257" s="165"/>
      <c r="F257" s="165"/>
      <c r="G257" s="165"/>
      <c r="H257" s="165"/>
      <c r="I257" s="168"/>
      <c r="J257" s="167"/>
      <c r="K257" s="168"/>
      <c r="L257" s="167"/>
      <c r="M257" s="167"/>
      <c r="N257" s="168"/>
      <c r="O257" s="168"/>
      <c r="P257" s="167"/>
      <c r="Q257" s="167"/>
      <c r="R257" s="167"/>
      <c r="S257" s="222" t="str">
        <f>IF(ISBLANK(A257),"",IF(ISNA(VLOOKUP(I257,Veg_Parameters!$A$3:$N$65,3,FALSE)),0,(VLOOKUP(I257,Veg_Parameters!$A$3:$N$65,3,FALSE))))</f>
        <v/>
      </c>
      <c r="T257" s="222" t="str">
        <f>IF(ISBLANK(N257),"",IF(ISNA(VLOOKUP(N257,Veg_Parameters!$A$3:$N$65,3,FALSE)),0,(VLOOKUP(N257,Veg_Parameters!$A$3:$N$65,3,FALSE))))</f>
        <v/>
      </c>
      <c r="U257" s="523">
        <f t="shared" si="390"/>
        <v>0</v>
      </c>
      <c r="V257" s="523">
        <f t="shared" si="366"/>
        <v>0</v>
      </c>
      <c r="W257" s="524">
        <f>IF(ISBLANK(A257),0,IF(ISNA(VLOOKUP($I257,Veg_Parameters!$A$3:$N$65,10,FALSE)),0,(VLOOKUP($I257,Veg_Parameters!$A$3:$N$65,10,FALSE))))</f>
        <v>0</v>
      </c>
      <c r="X257" s="524">
        <f>IF(ISBLANK(A257),0,IF(ISNA(VLOOKUP($I257,Veg_Parameters!$A$3:$N$65,11,FALSE)),0,(VLOOKUP($I257,Veg_Parameters!$A$3:$N$65,11,FALSE))))</f>
        <v>0</v>
      </c>
      <c r="Y257" s="524">
        <f>IF(ISBLANK(A257),0,IF(ISNA(VLOOKUP($I257,Veg_Parameters!$A$3:$N$65,12,FALSE)),0,(VLOOKUP($I257,Veg_Parameters!$A$3:$N$65,12,FALSE))))</f>
        <v>0</v>
      </c>
      <c r="Z257" s="525">
        <f t="shared" si="367"/>
        <v>0</v>
      </c>
      <c r="AA257" s="525">
        <f t="shared" si="368"/>
        <v>0</v>
      </c>
      <c r="AB257" s="525">
        <f t="shared" si="369"/>
        <v>0</v>
      </c>
      <c r="AC257" s="524">
        <f>IF(ISBLANK(N257),0,IF(ISNA(VLOOKUP($N257,Veg_Parameters!$A$3:$N$65,10,FALSE)),0,(VLOOKUP($N257,Veg_Parameters!$A$3:$N$65,10,FALSE))))</f>
        <v>0</v>
      </c>
      <c r="AD257" s="524">
        <f>IF(ISBLANK(N257),0,IF(ISNA(VLOOKUP($N257,Veg_Parameters!$A$3:$N$65,11,FALSE)),0,(VLOOKUP($N257,Veg_Parameters!$A$3:$N$65,11,FALSE))))</f>
        <v>0</v>
      </c>
      <c r="AE257" s="524">
        <f>IF(ISBLANK(N257), 0, IF(ISNA(VLOOKUP($N257,Veg_Parameters!$A$3:$N$65,12,FALSE)),0,(VLOOKUP($N257,Veg_Parameters!$A$3:$N$65,12,FALSE))))</f>
        <v>0</v>
      </c>
      <c r="AF257" s="523">
        <f t="shared" si="370"/>
        <v>0</v>
      </c>
      <c r="AG257" s="523">
        <f t="shared" si="371"/>
        <v>0</v>
      </c>
      <c r="AH257" s="523">
        <f t="shared" si="372"/>
        <v>0</v>
      </c>
      <c r="AI257" s="526"/>
      <c r="AJ257" s="527">
        <f>AB257*(IF(ISNA(VLOOKUP($I257,Veg_Parameters!$A$3:$N$65,5,FALSE)),0,(VLOOKUP($I257,Veg_Parameters!$A$3:$N$65,5,FALSE))))</f>
        <v>0</v>
      </c>
      <c r="AK257" s="527">
        <f>IF(ISNA(VLOOKUP($I257,Veg_Parameters!$A$3:$N$65,4,FALSE)),0,(VLOOKUP($I257,Veg_Parameters!$A$3:$N$65,4,FALSE)))</f>
        <v>0</v>
      </c>
      <c r="AL257" s="527">
        <f>AB257*(IF(ISNA(VLOOKUP($I257,Veg_Parameters!$A$3:$N$65,7,FALSE)),0, (VLOOKUP($I257,Veg_Parameters!$A$3:$N$65,7,FALSE))))</f>
        <v>0</v>
      </c>
      <c r="AM257" s="528">
        <f>IF(ISNA(VLOOKUP($I257,Veg_Parameters!$A$3:$N$65,6,FALSE)), 0, (VLOOKUP($I257,Veg_Parameters!$A$3:$N$65,6,FALSE)))</f>
        <v>0</v>
      </c>
      <c r="AN257" s="529">
        <f t="shared" si="373"/>
        <v>20</v>
      </c>
      <c r="AO257" s="529">
        <f t="shared" si="374"/>
        <v>0</v>
      </c>
      <c r="AP257" s="529">
        <f t="shared" si="375"/>
        <v>0</v>
      </c>
      <c r="AQ257" s="530">
        <f t="shared" si="391"/>
        <v>0</v>
      </c>
      <c r="AR257" s="527" t="s">
        <v>3</v>
      </c>
      <c r="AS257" s="527">
        <f>IF(ISNA(VLOOKUP($I257,Veg_Parameters!$A$3:$N$65,8,FALSE)), 0, (VLOOKUP($I257,Veg_Parameters!$A$3:$N$65,8,FALSE)))</f>
        <v>0</v>
      </c>
      <c r="AT257" s="527">
        <f>AB257*(IF(ISNA(VLOOKUP($I257,Veg_Parameters!$A$3:$N$65,9,FALSE)), 0, (VLOOKUP($I257,Veg_Parameters!$A$3:$N$65,9,FALSE))))</f>
        <v>0</v>
      </c>
      <c r="AU257" s="527">
        <f>IF(ISBLANK(A257),0,VLOOKUP($I257,Veg_Parameters!$A$4:$U$65,21,))</f>
        <v>0</v>
      </c>
      <c r="AV257" s="527">
        <f t="shared" si="392"/>
        <v>0</v>
      </c>
      <c r="AW257" s="529">
        <f t="shared" si="393"/>
        <v>0</v>
      </c>
      <c r="AX257" s="529">
        <f t="shared" si="394"/>
        <v>0</v>
      </c>
      <c r="AY257" s="529">
        <f t="shared" si="376"/>
        <v>0</v>
      </c>
      <c r="AZ257" s="529">
        <f t="shared" si="395"/>
        <v>0</v>
      </c>
      <c r="BA257" s="529">
        <f t="shared" si="396"/>
        <v>0</v>
      </c>
      <c r="BB257" s="529">
        <f t="shared" si="397"/>
        <v>0</v>
      </c>
      <c r="BC257" s="529">
        <f t="shared" si="377"/>
        <v>0</v>
      </c>
      <c r="BD257" s="531"/>
      <c r="BE257" s="527">
        <f>AH257*(IF(ISNA(VLOOKUP($N257,Veg_Parameters!$A$3:$N$65,5,FALSE)),0,(VLOOKUP($N257,Veg_Parameters!$A$3:$N$65,5,FALSE))))</f>
        <v>0</v>
      </c>
      <c r="BF257" s="527">
        <f>IF(ISNA(VLOOKUP($N257,Veg_Parameters!$A$3:$N$65,4,FALSE)),0,(VLOOKUP($N257,Veg_Parameters!$A$3:$N$65,4,FALSE)))</f>
        <v>0</v>
      </c>
      <c r="BG257" s="527">
        <f>AH257*(IF(ISNA(VLOOKUP($N257,Veg_Parameters!$A$3:$N$65,7,FALSE)),0, (VLOOKUP($N257,Veg_Parameters!$A$3:$N$65,7,FALSE))))</f>
        <v>0</v>
      </c>
      <c r="BH257" s="527">
        <f>IF(ISNA(VLOOKUP($N257,Veg_Parameters!$A$3:$N$65,6,FALSE)), 0, (VLOOKUP($N257,Veg_Parameters!$A$3:$N$65,6,FALSE)))</f>
        <v>0</v>
      </c>
      <c r="BI257" s="529">
        <f t="shared" si="378"/>
        <v>20</v>
      </c>
      <c r="BJ257" s="529">
        <f t="shared" si="398"/>
        <v>0</v>
      </c>
      <c r="BK257" s="529">
        <f t="shared" si="379"/>
        <v>0</v>
      </c>
      <c r="BL257" s="530">
        <f t="shared" si="399"/>
        <v>0</v>
      </c>
      <c r="BM257" s="527" t="s">
        <v>3</v>
      </c>
      <c r="BN257" s="527">
        <f>IF(ISNA(VLOOKUP(N257,Veg_Parameters!$A$3:$N$65,8,FALSE)), 0, (VLOOKUP($N257,Veg_Parameters!$A$3:$N$65,8,FALSE)))</f>
        <v>0</v>
      </c>
      <c r="BO257" s="527">
        <f>AH257*(IF(ISNA(VLOOKUP($N257,Veg_Parameters!$A$3:$N$65,9,FALSE)), 0, (VLOOKUP($N257,Veg_Parameters!$A$3:$N$65,9,FALSE))))</f>
        <v>0</v>
      </c>
      <c r="BP257" s="527" t="str">
        <f>IF(ISBLANK(N257),"0",VLOOKUP($N257,Veg_Parameters!$A$4:$U$65,21,))</f>
        <v>0</v>
      </c>
      <c r="BQ257" s="529">
        <f t="shared" si="400"/>
        <v>0</v>
      </c>
      <c r="BR257" s="529">
        <f t="shared" si="401"/>
        <v>0</v>
      </c>
      <c r="BS257" s="529">
        <f t="shared" si="380"/>
        <v>0</v>
      </c>
      <c r="BT257" s="529">
        <f t="shared" si="402"/>
        <v>0</v>
      </c>
      <c r="BU257" s="529">
        <f t="shared" si="403"/>
        <v>0</v>
      </c>
      <c r="BV257" s="529">
        <f t="shared" si="404"/>
        <v>0</v>
      </c>
      <c r="BW257" s="532" t="str">
        <f t="shared" si="381"/>
        <v/>
      </c>
      <c r="BX257" s="532" t="str">
        <f t="shared" si="382"/>
        <v/>
      </c>
      <c r="BY257" s="532" t="str">
        <f t="shared" si="383"/>
        <v/>
      </c>
      <c r="BZ257" s="532" t="str">
        <f t="shared" si="384"/>
        <v/>
      </c>
      <c r="CA257" s="532">
        <f t="shared" si="385"/>
        <v>0</v>
      </c>
      <c r="CB257" s="533"/>
      <c r="CC257" s="624">
        <f t="shared" si="386"/>
        <v>0</v>
      </c>
      <c r="CD257" s="534">
        <f t="shared" si="387"/>
        <v>0</v>
      </c>
      <c r="CE257" s="534">
        <f t="shared" si="388"/>
        <v>0</v>
      </c>
      <c r="CF257" s="534">
        <f t="shared" si="389"/>
        <v>0</v>
      </c>
      <c r="CG257" s="534"/>
      <c r="CH257" s="534"/>
      <c r="CI257" s="534">
        <f t="shared" si="405"/>
        <v>0</v>
      </c>
      <c r="CL257" s="534">
        <f>IF(ISNA(VLOOKUP(I257,Veg_Parameters!$A$3:$N$65,13,FALSE)),0,(VLOOKUP(I257,Veg_Parameters!$A$3:$N$65,13,FALSE)))</f>
        <v>0</v>
      </c>
      <c r="CM257" s="534">
        <f t="shared" si="406"/>
        <v>0</v>
      </c>
      <c r="CN257" s="534">
        <f>IF(ISNA(VLOOKUP(N257,Veg_Parameters!$A$3:$N$65,13,FALSE)),0,(VLOOKUP(N257,Veg_Parameters!$A$3:$N$65,13,FALSE)))</f>
        <v>0</v>
      </c>
      <c r="CO257" s="523">
        <f t="shared" si="407"/>
        <v>0</v>
      </c>
    </row>
    <row r="258" spans="1:93" x14ac:dyDescent="0.2">
      <c r="A258" s="230"/>
      <c r="B258" s="171" t="str">
        <f t="shared" si="408"/>
        <v/>
      </c>
      <c r="C258" s="230"/>
      <c r="D258" s="169"/>
      <c r="E258" s="165"/>
      <c r="F258" s="165"/>
      <c r="G258" s="165"/>
      <c r="H258" s="165"/>
      <c r="I258" s="168"/>
      <c r="J258" s="167"/>
      <c r="K258" s="168"/>
      <c r="L258" s="167"/>
      <c r="M258" s="167"/>
      <c r="N258" s="168"/>
      <c r="O258" s="168"/>
      <c r="P258" s="167"/>
      <c r="Q258" s="167"/>
      <c r="R258" s="167"/>
      <c r="S258" s="222" t="str">
        <f>IF(ISBLANK(A258),"",IF(ISNA(VLOOKUP(I258,Veg_Parameters!$A$3:$N$65,3,FALSE)),0,(VLOOKUP(I258,Veg_Parameters!$A$3:$N$65,3,FALSE))))</f>
        <v/>
      </c>
      <c r="T258" s="222" t="str">
        <f>IF(ISBLANK(N258),"",IF(ISNA(VLOOKUP(N258,Veg_Parameters!$A$3:$N$65,3,FALSE)),0,(VLOOKUP(N258,Veg_Parameters!$A$3:$N$65,3,FALSE))))</f>
        <v/>
      </c>
      <c r="U258" s="523">
        <f t="shared" si="390"/>
        <v>0</v>
      </c>
      <c r="V258" s="523">
        <f t="shared" si="366"/>
        <v>0</v>
      </c>
      <c r="W258" s="524">
        <f>IF(ISBLANK(A258),0,IF(ISNA(VLOOKUP($I258,Veg_Parameters!$A$3:$N$65,10,FALSE)),0,(VLOOKUP($I258,Veg_Parameters!$A$3:$N$65,10,FALSE))))</f>
        <v>0</v>
      </c>
      <c r="X258" s="524">
        <f>IF(ISBLANK(A258),0,IF(ISNA(VLOOKUP($I258,Veg_Parameters!$A$3:$N$65,11,FALSE)),0,(VLOOKUP($I258,Veg_Parameters!$A$3:$N$65,11,FALSE))))</f>
        <v>0</v>
      </c>
      <c r="Y258" s="524">
        <f>IF(ISBLANK(A258),0,IF(ISNA(VLOOKUP($I258,Veg_Parameters!$A$3:$N$65,12,FALSE)),0,(VLOOKUP($I258,Veg_Parameters!$A$3:$N$65,12,FALSE))))</f>
        <v>0</v>
      </c>
      <c r="Z258" s="525">
        <f t="shared" si="367"/>
        <v>0</v>
      </c>
      <c r="AA258" s="525">
        <f t="shared" si="368"/>
        <v>0</v>
      </c>
      <c r="AB258" s="525">
        <f t="shared" si="369"/>
        <v>0</v>
      </c>
      <c r="AC258" s="524">
        <f>IF(ISBLANK(N258),0,IF(ISNA(VLOOKUP($N258,Veg_Parameters!$A$3:$N$65,10,FALSE)),0,(VLOOKUP($N258,Veg_Parameters!$A$3:$N$65,10,FALSE))))</f>
        <v>0</v>
      </c>
      <c r="AD258" s="524">
        <f>IF(ISBLANK(N258),0,IF(ISNA(VLOOKUP($N258,Veg_Parameters!$A$3:$N$65,11,FALSE)),0,(VLOOKUP($N258,Veg_Parameters!$A$3:$N$65,11,FALSE))))</f>
        <v>0</v>
      </c>
      <c r="AE258" s="524">
        <f>IF(ISBLANK(N258), 0, IF(ISNA(VLOOKUP($N258,Veg_Parameters!$A$3:$N$65,12,FALSE)),0,(VLOOKUP($N258,Veg_Parameters!$A$3:$N$65,12,FALSE))))</f>
        <v>0</v>
      </c>
      <c r="AF258" s="523">
        <f t="shared" si="370"/>
        <v>0</v>
      </c>
      <c r="AG258" s="523">
        <f t="shared" si="371"/>
        <v>0</v>
      </c>
      <c r="AH258" s="523">
        <f t="shared" si="372"/>
        <v>0</v>
      </c>
      <c r="AI258" s="526"/>
      <c r="AJ258" s="527">
        <f>AB258*(IF(ISNA(VLOOKUP($I258,Veg_Parameters!$A$3:$N$65,5,FALSE)),0,(VLOOKUP($I258,Veg_Parameters!$A$3:$N$65,5,FALSE))))</f>
        <v>0</v>
      </c>
      <c r="AK258" s="527">
        <f>IF(ISNA(VLOOKUP($I258,Veg_Parameters!$A$3:$N$65,4,FALSE)),0,(VLOOKUP($I258,Veg_Parameters!$A$3:$N$65,4,FALSE)))</f>
        <v>0</v>
      </c>
      <c r="AL258" s="527">
        <f>AB258*(IF(ISNA(VLOOKUP($I258,Veg_Parameters!$A$3:$N$65,7,FALSE)),0, (VLOOKUP($I258,Veg_Parameters!$A$3:$N$65,7,FALSE))))</f>
        <v>0</v>
      </c>
      <c r="AM258" s="528">
        <f>IF(ISNA(VLOOKUP($I258,Veg_Parameters!$A$3:$N$65,6,FALSE)), 0, (VLOOKUP($I258,Veg_Parameters!$A$3:$N$65,6,FALSE)))</f>
        <v>0</v>
      </c>
      <c r="AN258" s="529">
        <f t="shared" si="373"/>
        <v>20</v>
      </c>
      <c r="AO258" s="529">
        <f t="shared" si="374"/>
        <v>0</v>
      </c>
      <c r="AP258" s="529">
        <f t="shared" si="375"/>
        <v>0</v>
      </c>
      <c r="AQ258" s="530">
        <f t="shared" si="391"/>
        <v>0</v>
      </c>
      <c r="AR258" s="527" t="s">
        <v>3</v>
      </c>
      <c r="AS258" s="527">
        <f>IF(ISNA(VLOOKUP($I258,Veg_Parameters!$A$3:$N$65,8,FALSE)), 0, (VLOOKUP($I258,Veg_Parameters!$A$3:$N$65,8,FALSE)))</f>
        <v>0</v>
      </c>
      <c r="AT258" s="527">
        <f>AB258*(IF(ISNA(VLOOKUP($I258,Veg_Parameters!$A$3:$N$65,9,FALSE)), 0, (VLOOKUP($I258,Veg_Parameters!$A$3:$N$65,9,FALSE))))</f>
        <v>0</v>
      </c>
      <c r="AU258" s="527">
        <f>IF(ISBLANK(A258),0,VLOOKUP($I258,Veg_Parameters!$A$4:$U$65,21,))</f>
        <v>0</v>
      </c>
      <c r="AV258" s="527">
        <f t="shared" si="392"/>
        <v>0</v>
      </c>
      <c r="AW258" s="529">
        <f t="shared" si="393"/>
        <v>0</v>
      </c>
      <c r="AX258" s="529">
        <f t="shared" si="394"/>
        <v>0</v>
      </c>
      <c r="AY258" s="529">
        <f t="shared" si="376"/>
        <v>0</v>
      </c>
      <c r="AZ258" s="529">
        <f t="shared" si="395"/>
        <v>0</v>
      </c>
      <c r="BA258" s="529">
        <f t="shared" si="396"/>
        <v>0</v>
      </c>
      <c r="BB258" s="529">
        <f t="shared" si="397"/>
        <v>0</v>
      </c>
      <c r="BC258" s="529">
        <f t="shared" si="377"/>
        <v>0</v>
      </c>
      <c r="BD258" s="531"/>
      <c r="BE258" s="527">
        <f>AH258*(IF(ISNA(VLOOKUP($N258,Veg_Parameters!$A$3:$N$65,5,FALSE)),0,(VLOOKUP($N258,Veg_Parameters!$A$3:$N$65,5,FALSE))))</f>
        <v>0</v>
      </c>
      <c r="BF258" s="527">
        <f>IF(ISNA(VLOOKUP($N258,Veg_Parameters!$A$3:$N$65,4,FALSE)),0,(VLOOKUP($N258,Veg_Parameters!$A$3:$N$65,4,FALSE)))</f>
        <v>0</v>
      </c>
      <c r="BG258" s="527">
        <f>AH258*(IF(ISNA(VLOOKUP($N258,Veg_Parameters!$A$3:$N$65,7,FALSE)),0, (VLOOKUP($N258,Veg_Parameters!$A$3:$N$65,7,FALSE))))</f>
        <v>0</v>
      </c>
      <c r="BH258" s="527">
        <f>IF(ISNA(VLOOKUP($N258,Veg_Parameters!$A$3:$N$65,6,FALSE)), 0, (VLOOKUP($N258,Veg_Parameters!$A$3:$N$65,6,FALSE)))</f>
        <v>0</v>
      </c>
      <c r="BI258" s="529">
        <f t="shared" si="378"/>
        <v>20</v>
      </c>
      <c r="BJ258" s="529">
        <f t="shared" si="398"/>
        <v>0</v>
      </c>
      <c r="BK258" s="529">
        <f t="shared" si="379"/>
        <v>0</v>
      </c>
      <c r="BL258" s="530">
        <f t="shared" si="399"/>
        <v>0</v>
      </c>
      <c r="BM258" s="527" t="s">
        <v>3</v>
      </c>
      <c r="BN258" s="527">
        <f>IF(ISNA(VLOOKUP(N258,Veg_Parameters!$A$3:$N$65,8,FALSE)), 0, (VLOOKUP($N258,Veg_Parameters!$A$3:$N$65,8,FALSE)))</f>
        <v>0</v>
      </c>
      <c r="BO258" s="527">
        <f>AH258*(IF(ISNA(VLOOKUP($N258,Veg_Parameters!$A$3:$N$65,9,FALSE)), 0, (VLOOKUP($N258,Veg_Parameters!$A$3:$N$65,9,FALSE))))</f>
        <v>0</v>
      </c>
      <c r="BP258" s="527" t="str">
        <f>IF(ISBLANK(N258),"0",VLOOKUP($N258,Veg_Parameters!$A$4:$U$65,21,))</f>
        <v>0</v>
      </c>
      <c r="BQ258" s="529">
        <f t="shared" si="400"/>
        <v>0</v>
      </c>
      <c r="BR258" s="529">
        <f t="shared" si="401"/>
        <v>0</v>
      </c>
      <c r="BS258" s="529">
        <f t="shared" si="380"/>
        <v>0</v>
      </c>
      <c r="BT258" s="529">
        <f t="shared" si="402"/>
        <v>0</v>
      </c>
      <c r="BU258" s="529">
        <f t="shared" si="403"/>
        <v>0</v>
      </c>
      <c r="BV258" s="529">
        <f t="shared" si="404"/>
        <v>0</v>
      </c>
      <c r="BW258" s="532" t="str">
        <f t="shared" si="381"/>
        <v/>
      </c>
      <c r="BX258" s="532" t="str">
        <f t="shared" si="382"/>
        <v/>
      </c>
      <c r="BY258" s="532" t="str">
        <f t="shared" si="383"/>
        <v/>
      </c>
      <c r="BZ258" s="532" t="str">
        <f t="shared" si="384"/>
        <v/>
      </c>
      <c r="CA258" s="532">
        <f t="shared" si="385"/>
        <v>0</v>
      </c>
      <c r="CB258" s="533"/>
      <c r="CC258" s="624">
        <f t="shared" si="386"/>
        <v>0</v>
      </c>
      <c r="CD258" s="534">
        <f t="shared" si="387"/>
        <v>0</v>
      </c>
      <c r="CE258" s="534">
        <f t="shared" si="388"/>
        <v>0</v>
      </c>
      <c r="CF258" s="534">
        <f t="shared" si="389"/>
        <v>0</v>
      </c>
      <c r="CG258" s="534"/>
      <c r="CH258" s="534"/>
      <c r="CI258" s="534">
        <f t="shared" si="405"/>
        <v>0</v>
      </c>
      <c r="CL258" s="534">
        <f>IF(ISNA(VLOOKUP(I258,Veg_Parameters!$A$3:$N$65,13,FALSE)),0,(VLOOKUP(I258,Veg_Parameters!$A$3:$N$65,13,FALSE)))</f>
        <v>0</v>
      </c>
      <c r="CM258" s="534">
        <f t="shared" si="406"/>
        <v>0</v>
      </c>
      <c r="CN258" s="534">
        <f>IF(ISNA(VLOOKUP(N258,Veg_Parameters!$A$3:$N$65,13,FALSE)),0,(VLOOKUP(N258,Veg_Parameters!$A$3:$N$65,13,FALSE)))</f>
        <v>0</v>
      </c>
      <c r="CO258" s="523">
        <f t="shared" si="407"/>
        <v>0</v>
      </c>
    </row>
    <row r="259" spans="1:93" x14ac:dyDescent="0.2">
      <c r="A259" s="230"/>
      <c r="B259" s="171" t="str">
        <f t="shared" si="408"/>
        <v/>
      </c>
      <c r="C259" s="230"/>
      <c r="D259" s="169"/>
      <c r="E259" s="165"/>
      <c r="F259" s="165"/>
      <c r="G259" s="165"/>
      <c r="H259" s="165"/>
      <c r="I259" s="168"/>
      <c r="J259" s="167"/>
      <c r="K259" s="168"/>
      <c r="L259" s="167"/>
      <c r="M259" s="167"/>
      <c r="N259" s="168"/>
      <c r="O259" s="168"/>
      <c r="P259" s="167"/>
      <c r="Q259" s="167"/>
      <c r="R259" s="167"/>
      <c r="S259" s="222" t="str">
        <f>IF(ISBLANK(A259),"",IF(ISNA(VLOOKUP(I259,Veg_Parameters!$A$3:$N$65,3,FALSE)),0,(VLOOKUP(I259,Veg_Parameters!$A$3:$N$65,3,FALSE))))</f>
        <v/>
      </c>
      <c r="T259" s="222" t="str">
        <f>IF(ISBLANK(N259),"",IF(ISNA(VLOOKUP(N259,Veg_Parameters!$A$3:$N$65,3,FALSE)),0,(VLOOKUP(N259,Veg_Parameters!$A$3:$N$65,3,FALSE))))</f>
        <v/>
      </c>
      <c r="U259" s="523">
        <f t="shared" si="390"/>
        <v>0</v>
      </c>
      <c r="V259" s="523">
        <f t="shared" si="366"/>
        <v>0</v>
      </c>
      <c r="W259" s="524">
        <f>IF(ISBLANK(A259),0,IF(ISNA(VLOOKUP($I259,Veg_Parameters!$A$3:$N$65,10,FALSE)),0,(VLOOKUP($I259,Veg_Parameters!$A$3:$N$65,10,FALSE))))</f>
        <v>0</v>
      </c>
      <c r="X259" s="524">
        <f>IF(ISBLANK(A259),0,IF(ISNA(VLOOKUP($I259,Veg_Parameters!$A$3:$N$65,11,FALSE)),0,(VLOOKUP($I259,Veg_Parameters!$A$3:$N$65,11,FALSE))))</f>
        <v>0</v>
      </c>
      <c r="Y259" s="524">
        <f>IF(ISBLANK(A259),0,IF(ISNA(VLOOKUP($I259,Veg_Parameters!$A$3:$N$65,12,FALSE)),0,(VLOOKUP($I259,Veg_Parameters!$A$3:$N$65,12,FALSE))))</f>
        <v>0</v>
      </c>
      <c r="Z259" s="525">
        <f t="shared" si="367"/>
        <v>0</v>
      </c>
      <c r="AA259" s="525">
        <f t="shared" si="368"/>
        <v>0</v>
      </c>
      <c r="AB259" s="525">
        <f t="shared" si="369"/>
        <v>0</v>
      </c>
      <c r="AC259" s="524">
        <f>IF(ISBLANK(N259),0,IF(ISNA(VLOOKUP($N259,Veg_Parameters!$A$3:$N$65,10,FALSE)),0,(VLOOKUP($N259,Veg_Parameters!$A$3:$N$65,10,FALSE))))</f>
        <v>0</v>
      </c>
      <c r="AD259" s="524">
        <f>IF(ISBLANK(N259),0,IF(ISNA(VLOOKUP($N259,Veg_Parameters!$A$3:$N$65,11,FALSE)),0,(VLOOKUP($N259,Veg_Parameters!$A$3:$N$65,11,FALSE))))</f>
        <v>0</v>
      </c>
      <c r="AE259" s="524">
        <f>IF(ISBLANK(N259), 0, IF(ISNA(VLOOKUP($N259,Veg_Parameters!$A$3:$N$65,12,FALSE)),0,(VLOOKUP($N259,Veg_Parameters!$A$3:$N$65,12,FALSE))))</f>
        <v>0</v>
      </c>
      <c r="AF259" s="523">
        <f t="shared" si="370"/>
        <v>0</v>
      </c>
      <c r="AG259" s="523">
        <f t="shared" si="371"/>
        <v>0</v>
      </c>
      <c r="AH259" s="523">
        <f t="shared" si="372"/>
        <v>0</v>
      </c>
      <c r="AI259" s="526"/>
      <c r="AJ259" s="527">
        <f>AB259*(IF(ISNA(VLOOKUP($I259,Veg_Parameters!$A$3:$N$65,5,FALSE)),0,(VLOOKUP($I259,Veg_Parameters!$A$3:$N$65,5,FALSE))))</f>
        <v>0</v>
      </c>
      <c r="AK259" s="527">
        <f>IF(ISNA(VLOOKUP($I259,Veg_Parameters!$A$3:$N$65,4,FALSE)),0,(VLOOKUP($I259,Veg_Parameters!$A$3:$N$65,4,FALSE)))</f>
        <v>0</v>
      </c>
      <c r="AL259" s="527">
        <f>AB259*(IF(ISNA(VLOOKUP($I259,Veg_Parameters!$A$3:$N$65,7,FALSE)),0, (VLOOKUP($I259,Veg_Parameters!$A$3:$N$65,7,FALSE))))</f>
        <v>0</v>
      </c>
      <c r="AM259" s="528">
        <f>IF(ISNA(VLOOKUP($I259,Veg_Parameters!$A$3:$N$65,6,FALSE)), 0, (VLOOKUP($I259,Veg_Parameters!$A$3:$N$65,6,FALSE)))</f>
        <v>0</v>
      </c>
      <c r="AN259" s="529">
        <f t="shared" si="373"/>
        <v>20</v>
      </c>
      <c r="AO259" s="529">
        <f t="shared" si="374"/>
        <v>0</v>
      </c>
      <c r="AP259" s="529">
        <f t="shared" si="375"/>
        <v>0</v>
      </c>
      <c r="AQ259" s="530">
        <f t="shared" si="391"/>
        <v>0</v>
      </c>
      <c r="AR259" s="527" t="s">
        <v>3</v>
      </c>
      <c r="AS259" s="527">
        <f>IF(ISNA(VLOOKUP($I259,Veg_Parameters!$A$3:$N$65,8,FALSE)), 0, (VLOOKUP($I259,Veg_Parameters!$A$3:$N$65,8,FALSE)))</f>
        <v>0</v>
      </c>
      <c r="AT259" s="527">
        <f>AB259*(IF(ISNA(VLOOKUP($I259,Veg_Parameters!$A$3:$N$65,9,FALSE)), 0, (VLOOKUP($I259,Veg_Parameters!$A$3:$N$65,9,FALSE))))</f>
        <v>0</v>
      </c>
      <c r="AU259" s="527">
        <f>IF(ISBLANK(A259),0,VLOOKUP($I259,Veg_Parameters!$A$4:$U$65,21,))</f>
        <v>0</v>
      </c>
      <c r="AV259" s="527">
        <f t="shared" si="392"/>
        <v>0</v>
      </c>
      <c r="AW259" s="529">
        <f t="shared" si="393"/>
        <v>0</v>
      </c>
      <c r="AX259" s="529">
        <f t="shared" si="394"/>
        <v>0</v>
      </c>
      <c r="AY259" s="529">
        <f t="shared" si="376"/>
        <v>0</v>
      </c>
      <c r="AZ259" s="529">
        <f t="shared" si="395"/>
        <v>0</v>
      </c>
      <c r="BA259" s="529">
        <f t="shared" si="396"/>
        <v>0</v>
      </c>
      <c r="BB259" s="529">
        <f t="shared" si="397"/>
        <v>0</v>
      </c>
      <c r="BC259" s="529">
        <f t="shared" si="377"/>
        <v>0</v>
      </c>
      <c r="BD259" s="531"/>
      <c r="BE259" s="527">
        <f>AH259*(IF(ISNA(VLOOKUP($N259,Veg_Parameters!$A$3:$N$65,5,FALSE)),0,(VLOOKUP($N259,Veg_Parameters!$A$3:$N$65,5,FALSE))))</f>
        <v>0</v>
      </c>
      <c r="BF259" s="527">
        <f>IF(ISNA(VLOOKUP($N259,Veg_Parameters!$A$3:$N$65,4,FALSE)),0,(VLOOKUP($N259,Veg_Parameters!$A$3:$N$65,4,FALSE)))</f>
        <v>0</v>
      </c>
      <c r="BG259" s="527">
        <f>AH259*(IF(ISNA(VLOOKUP($N259,Veg_Parameters!$A$3:$N$65,7,FALSE)),0, (VLOOKUP($N259,Veg_Parameters!$A$3:$N$65,7,FALSE))))</f>
        <v>0</v>
      </c>
      <c r="BH259" s="527">
        <f>IF(ISNA(VLOOKUP($N259,Veg_Parameters!$A$3:$N$65,6,FALSE)), 0, (VLOOKUP($N259,Veg_Parameters!$A$3:$N$65,6,FALSE)))</f>
        <v>0</v>
      </c>
      <c r="BI259" s="529">
        <f t="shared" si="378"/>
        <v>20</v>
      </c>
      <c r="BJ259" s="529">
        <f t="shared" si="398"/>
        <v>0</v>
      </c>
      <c r="BK259" s="529">
        <f t="shared" si="379"/>
        <v>0</v>
      </c>
      <c r="BL259" s="530">
        <f t="shared" si="399"/>
        <v>0</v>
      </c>
      <c r="BM259" s="527" t="s">
        <v>3</v>
      </c>
      <c r="BN259" s="527">
        <f>IF(ISNA(VLOOKUP(N259,Veg_Parameters!$A$3:$N$65,8,FALSE)), 0, (VLOOKUP($N259,Veg_Parameters!$A$3:$N$65,8,FALSE)))</f>
        <v>0</v>
      </c>
      <c r="BO259" s="527">
        <f>AH259*(IF(ISNA(VLOOKUP($N259,Veg_Parameters!$A$3:$N$65,9,FALSE)), 0, (VLOOKUP($N259,Veg_Parameters!$A$3:$N$65,9,FALSE))))</f>
        <v>0</v>
      </c>
      <c r="BP259" s="527" t="str">
        <f>IF(ISBLANK(N259),"0",VLOOKUP($N259,Veg_Parameters!$A$4:$U$65,21,))</f>
        <v>0</v>
      </c>
      <c r="BQ259" s="529">
        <f t="shared" si="400"/>
        <v>0</v>
      </c>
      <c r="BR259" s="529">
        <f t="shared" si="401"/>
        <v>0</v>
      </c>
      <c r="BS259" s="529">
        <f t="shared" si="380"/>
        <v>0</v>
      </c>
      <c r="BT259" s="529">
        <f t="shared" si="402"/>
        <v>0</v>
      </c>
      <c r="BU259" s="529">
        <f t="shared" si="403"/>
        <v>0</v>
      </c>
      <c r="BV259" s="529">
        <f t="shared" si="404"/>
        <v>0</v>
      </c>
      <c r="BW259" s="532" t="str">
        <f t="shared" si="381"/>
        <v/>
      </c>
      <c r="BX259" s="532" t="str">
        <f t="shared" si="382"/>
        <v/>
      </c>
      <c r="BY259" s="532" t="str">
        <f t="shared" si="383"/>
        <v/>
      </c>
      <c r="BZ259" s="532" t="str">
        <f t="shared" si="384"/>
        <v/>
      </c>
      <c r="CA259" s="532">
        <f t="shared" si="385"/>
        <v>0</v>
      </c>
      <c r="CB259" s="533"/>
      <c r="CC259" s="624">
        <f t="shared" si="386"/>
        <v>0</v>
      </c>
      <c r="CD259" s="534">
        <f t="shared" si="387"/>
        <v>0</v>
      </c>
      <c r="CE259" s="534">
        <f t="shared" si="388"/>
        <v>0</v>
      </c>
      <c r="CF259" s="534">
        <f t="shared" si="389"/>
        <v>0</v>
      </c>
      <c r="CG259" s="534"/>
      <c r="CH259" s="534"/>
      <c r="CI259" s="534">
        <f t="shared" si="405"/>
        <v>0</v>
      </c>
      <c r="CL259" s="534">
        <f>IF(ISNA(VLOOKUP(I259,Veg_Parameters!$A$3:$N$65,13,FALSE)),0,(VLOOKUP(I259,Veg_Parameters!$A$3:$N$65,13,FALSE)))</f>
        <v>0</v>
      </c>
      <c r="CM259" s="534">
        <f t="shared" si="406"/>
        <v>0</v>
      </c>
      <c r="CN259" s="534">
        <f>IF(ISNA(VLOOKUP(N259,Veg_Parameters!$A$3:$N$65,13,FALSE)),0,(VLOOKUP(N259,Veg_Parameters!$A$3:$N$65,13,FALSE)))</f>
        <v>0</v>
      </c>
      <c r="CO259" s="523">
        <f t="shared" si="407"/>
        <v>0</v>
      </c>
    </row>
    <row r="260" spans="1:93" x14ac:dyDescent="0.2">
      <c r="A260" s="227"/>
      <c r="B260" s="171" t="str">
        <f t="shared" si="408"/>
        <v/>
      </c>
      <c r="C260" s="230"/>
      <c r="D260" s="169"/>
      <c r="E260" s="165"/>
      <c r="F260" s="165"/>
      <c r="G260" s="165"/>
      <c r="H260" s="165"/>
      <c r="I260" s="168"/>
      <c r="J260" s="167"/>
      <c r="K260" s="168"/>
      <c r="L260" s="167"/>
      <c r="M260" s="167"/>
      <c r="N260" s="168"/>
      <c r="O260" s="168"/>
      <c r="P260" s="167"/>
      <c r="Q260" s="167"/>
      <c r="R260" s="167"/>
      <c r="S260" s="222" t="str">
        <f>IF(ISBLANK(A260),"",IF(ISNA(VLOOKUP(I260,Veg_Parameters!$A$3:$N$65,3,FALSE)),0,(VLOOKUP(I260,Veg_Parameters!$A$3:$N$65,3,FALSE))))</f>
        <v/>
      </c>
      <c r="T260" s="222" t="str">
        <f>IF(ISBLANK(N260),"",IF(ISNA(VLOOKUP(N260,Veg_Parameters!$A$3:$N$65,3,FALSE)),0,(VLOOKUP(N260,Veg_Parameters!$A$3:$N$65,3,FALSE))))</f>
        <v/>
      </c>
      <c r="U260" s="523">
        <f t="shared" si="390"/>
        <v>0</v>
      </c>
      <c r="V260" s="523">
        <f t="shared" si="366"/>
        <v>0</v>
      </c>
      <c r="W260" s="524">
        <f>IF(ISBLANK(A260),0,IF(ISNA(VLOOKUP($I260,Veg_Parameters!$A$3:$N$65,10,FALSE)),0,(VLOOKUP($I260,Veg_Parameters!$A$3:$N$65,10,FALSE))))</f>
        <v>0</v>
      </c>
      <c r="X260" s="524">
        <f>IF(ISBLANK(A260),0,IF(ISNA(VLOOKUP($I260,Veg_Parameters!$A$3:$N$65,11,FALSE)),0,(VLOOKUP($I260,Veg_Parameters!$A$3:$N$65,11,FALSE))))</f>
        <v>0</v>
      </c>
      <c r="Y260" s="524">
        <f>IF(ISBLANK(A260),0,IF(ISNA(VLOOKUP($I260,Veg_Parameters!$A$3:$N$65,12,FALSE)),0,(VLOOKUP($I260,Veg_Parameters!$A$3:$N$65,12,FALSE))))</f>
        <v>0</v>
      </c>
      <c r="Z260" s="525">
        <f t="shared" si="367"/>
        <v>0</v>
      </c>
      <c r="AA260" s="525">
        <f t="shared" si="368"/>
        <v>0</v>
      </c>
      <c r="AB260" s="525">
        <f t="shared" si="369"/>
        <v>0</v>
      </c>
      <c r="AC260" s="524">
        <f>IF(ISBLANK(N260),0,IF(ISNA(VLOOKUP($N260,Veg_Parameters!$A$3:$N$65,10,FALSE)),0,(VLOOKUP($N260,Veg_Parameters!$A$3:$N$65,10,FALSE))))</f>
        <v>0</v>
      </c>
      <c r="AD260" s="524">
        <f>IF(ISBLANK(N260),0,IF(ISNA(VLOOKUP($N260,Veg_Parameters!$A$3:$N$65,11,FALSE)),0,(VLOOKUP($N260,Veg_Parameters!$A$3:$N$65,11,FALSE))))</f>
        <v>0</v>
      </c>
      <c r="AE260" s="524">
        <f>IF(ISBLANK(N260), 0, IF(ISNA(VLOOKUP($N260,Veg_Parameters!$A$3:$N$65,12,FALSE)),0,(VLOOKUP($N260,Veg_Parameters!$A$3:$N$65,12,FALSE))))</f>
        <v>0</v>
      </c>
      <c r="AF260" s="523">
        <f t="shared" si="370"/>
        <v>0</v>
      </c>
      <c r="AG260" s="523">
        <f t="shared" si="371"/>
        <v>0</v>
      </c>
      <c r="AH260" s="523">
        <f t="shared" si="372"/>
        <v>0</v>
      </c>
      <c r="AI260" s="526"/>
      <c r="AJ260" s="527">
        <f>AB260*(IF(ISNA(VLOOKUP($I260,Veg_Parameters!$A$3:$N$65,5,FALSE)),0,(VLOOKUP($I260,Veg_Parameters!$A$3:$N$65,5,FALSE))))</f>
        <v>0</v>
      </c>
      <c r="AK260" s="527">
        <f>IF(ISNA(VLOOKUP($I260,Veg_Parameters!$A$3:$N$65,4,FALSE)),0,(VLOOKUP($I260,Veg_Parameters!$A$3:$N$65,4,FALSE)))</f>
        <v>0</v>
      </c>
      <c r="AL260" s="527">
        <f>AB260*(IF(ISNA(VLOOKUP($I260,Veg_Parameters!$A$3:$N$65,7,FALSE)),0, (VLOOKUP($I260,Veg_Parameters!$A$3:$N$65,7,FALSE))))</f>
        <v>0</v>
      </c>
      <c r="AM260" s="528">
        <f>IF(ISNA(VLOOKUP($I260,Veg_Parameters!$A$3:$N$65,6,FALSE)), 0, (VLOOKUP($I260,Veg_Parameters!$A$3:$N$65,6,FALSE)))</f>
        <v>0</v>
      </c>
      <c r="AN260" s="529">
        <f t="shared" si="373"/>
        <v>20</v>
      </c>
      <c r="AO260" s="529">
        <f t="shared" si="374"/>
        <v>0</v>
      </c>
      <c r="AP260" s="529">
        <f t="shared" si="375"/>
        <v>0</v>
      </c>
      <c r="AQ260" s="530">
        <f t="shared" si="391"/>
        <v>0</v>
      </c>
      <c r="AR260" s="527" t="s">
        <v>3</v>
      </c>
      <c r="AS260" s="527">
        <f>IF(ISNA(VLOOKUP($I260,Veg_Parameters!$A$3:$N$65,8,FALSE)), 0, (VLOOKUP($I260,Veg_Parameters!$A$3:$N$65,8,FALSE)))</f>
        <v>0</v>
      </c>
      <c r="AT260" s="527">
        <f>AB260*(IF(ISNA(VLOOKUP($I260,Veg_Parameters!$A$3:$N$65,9,FALSE)), 0, (VLOOKUP($I260,Veg_Parameters!$A$3:$N$65,9,FALSE))))</f>
        <v>0</v>
      </c>
      <c r="AU260" s="527">
        <f>IF(ISBLANK(A260),0,VLOOKUP($I260,Veg_Parameters!$A$4:$U$65,21,))</f>
        <v>0</v>
      </c>
      <c r="AV260" s="527">
        <f t="shared" si="392"/>
        <v>0</v>
      </c>
      <c r="AW260" s="529">
        <f t="shared" si="393"/>
        <v>0</v>
      </c>
      <c r="AX260" s="529">
        <f t="shared" si="394"/>
        <v>0</v>
      </c>
      <c r="AY260" s="529">
        <f t="shared" si="376"/>
        <v>0</v>
      </c>
      <c r="AZ260" s="529">
        <f t="shared" si="395"/>
        <v>0</v>
      </c>
      <c r="BA260" s="529">
        <f t="shared" si="396"/>
        <v>0</v>
      </c>
      <c r="BB260" s="529">
        <f t="shared" si="397"/>
        <v>0</v>
      </c>
      <c r="BC260" s="529">
        <f t="shared" si="377"/>
        <v>0</v>
      </c>
      <c r="BD260" s="531"/>
      <c r="BE260" s="527">
        <f>AH260*(IF(ISNA(VLOOKUP($N260,Veg_Parameters!$A$3:$N$65,5,FALSE)),0,(VLOOKUP($N260,Veg_Parameters!$A$3:$N$65,5,FALSE))))</f>
        <v>0</v>
      </c>
      <c r="BF260" s="527">
        <f>IF(ISNA(VLOOKUP($N260,Veg_Parameters!$A$3:$N$65,4,FALSE)),0,(VLOOKUP($N260,Veg_Parameters!$A$3:$N$65,4,FALSE)))</f>
        <v>0</v>
      </c>
      <c r="BG260" s="527">
        <f>AH260*(IF(ISNA(VLOOKUP($N260,Veg_Parameters!$A$3:$N$65,7,FALSE)),0, (VLOOKUP($N260,Veg_Parameters!$A$3:$N$65,7,FALSE))))</f>
        <v>0</v>
      </c>
      <c r="BH260" s="527">
        <f>IF(ISNA(VLOOKUP($N260,Veg_Parameters!$A$3:$N$65,6,FALSE)), 0, (VLOOKUP($N260,Veg_Parameters!$A$3:$N$65,6,FALSE)))</f>
        <v>0</v>
      </c>
      <c r="BI260" s="529">
        <f t="shared" si="378"/>
        <v>20</v>
      </c>
      <c r="BJ260" s="529">
        <f t="shared" si="398"/>
        <v>0</v>
      </c>
      <c r="BK260" s="529">
        <f t="shared" si="379"/>
        <v>0</v>
      </c>
      <c r="BL260" s="530">
        <f t="shared" si="399"/>
        <v>0</v>
      </c>
      <c r="BM260" s="527" t="s">
        <v>3</v>
      </c>
      <c r="BN260" s="527">
        <f>IF(ISNA(VLOOKUP(N260,Veg_Parameters!$A$3:$N$65,8,FALSE)), 0, (VLOOKUP($N260,Veg_Parameters!$A$3:$N$65,8,FALSE)))</f>
        <v>0</v>
      </c>
      <c r="BO260" s="527">
        <f>AH260*(IF(ISNA(VLOOKUP($N260,Veg_Parameters!$A$3:$N$65,9,FALSE)), 0, (VLOOKUP($N260,Veg_Parameters!$A$3:$N$65,9,FALSE))))</f>
        <v>0</v>
      </c>
      <c r="BP260" s="527" t="str">
        <f>IF(ISBLANK(N260),"0",VLOOKUP($N260,Veg_Parameters!$A$4:$U$65,21,))</f>
        <v>0</v>
      </c>
      <c r="BQ260" s="529">
        <f t="shared" si="400"/>
        <v>0</v>
      </c>
      <c r="BR260" s="529">
        <f t="shared" si="401"/>
        <v>0</v>
      </c>
      <c r="BS260" s="529">
        <f t="shared" si="380"/>
        <v>0</v>
      </c>
      <c r="BT260" s="529">
        <f t="shared" si="402"/>
        <v>0</v>
      </c>
      <c r="BU260" s="529">
        <f t="shared" si="403"/>
        <v>0</v>
      </c>
      <c r="BV260" s="529">
        <f t="shared" si="404"/>
        <v>0</v>
      </c>
      <c r="BW260" s="532" t="str">
        <f t="shared" si="381"/>
        <v/>
      </c>
      <c r="BX260" s="532" t="str">
        <f t="shared" si="382"/>
        <v/>
      </c>
      <c r="BY260" s="532" t="str">
        <f t="shared" si="383"/>
        <v/>
      </c>
      <c r="BZ260" s="532" t="str">
        <f t="shared" si="384"/>
        <v/>
      </c>
      <c r="CA260" s="532">
        <f t="shared" si="385"/>
        <v>0</v>
      </c>
      <c r="CB260" s="533"/>
      <c r="CC260" s="624">
        <f t="shared" si="386"/>
        <v>0</v>
      </c>
      <c r="CD260" s="534">
        <f t="shared" si="387"/>
        <v>0</v>
      </c>
      <c r="CE260" s="534">
        <f t="shared" si="388"/>
        <v>0</v>
      </c>
      <c r="CF260" s="534">
        <f t="shared" si="389"/>
        <v>0</v>
      </c>
      <c r="CG260" s="534"/>
      <c r="CH260" s="534"/>
      <c r="CI260" s="534">
        <f t="shared" si="405"/>
        <v>0</v>
      </c>
      <c r="CL260" s="534">
        <f>IF(ISNA(VLOOKUP(I260,Veg_Parameters!$A$3:$N$65,13,FALSE)),0,(VLOOKUP(I260,Veg_Parameters!$A$3:$N$65,13,FALSE)))</f>
        <v>0</v>
      </c>
      <c r="CM260" s="534">
        <f t="shared" si="406"/>
        <v>0</v>
      </c>
      <c r="CN260" s="534">
        <f>IF(ISNA(VLOOKUP(N260,Veg_Parameters!$A$3:$N$65,13,FALSE)),0,(VLOOKUP(N260,Veg_Parameters!$A$3:$N$65,13,FALSE)))</f>
        <v>0</v>
      </c>
      <c r="CO260" s="523">
        <f t="shared" si="407"/>
        <v>0</v>
      </c>
    </row>
    <row r="261" spans="1:93" x14ac:dyDescent="0.2">
      <c r="A261" s="227"/>
      <c r="B261" s="171" t="str">
        <f t="shared" si="408"/>
        <v/>
      </c>
      <c r="C261" s="230"/>
      <c r="D261" s="169"/>
      <c r="E261" s="165"/>
      <c r="F261" s="165"/>
      <c r="G261" s="165"/>
      <c r="H261" s="165"/>
      <c r="I261" s="168"/>
      <c r="J261" s="167"/>
      <c r="K261" s="168"/>
      <c r="L261" s="167"/>
      <c r="M261" s="167"/>
      <c r="N261" s="168"/>
      <c r="O261" s="168"/>
      <c r="P261" s="167"/>
      <c r="Q261" s="167"/>
      <c r="R261" s="167"/>
      <c r="S261" s="222" t="str">
        <f>IF(ISBLANK(A261),"",IF(ISNA(VLOOKUP(I261,Veg_Parameters!$A$3:$N$65,3,FALSE)),0,(VLOOKUP(I261,Veg_Parameters!$A$3:$N$65,3,FALSE))))</f>
        <v/>
      </c>
      <c r="T261" s="222" t="str">
        <f>IF(ISBLANK(N261),"",IF(ISNA(VLOOKUP(N261,Veg_Parameters!$A$3:$N$65,3,FALSE)),0,(VLOOKUP(N261,Veg_Parameters!$A$3:$N$65,3,FALSE))))</f>
        <v/>
      </c>
      <c r="U261" s="523">
        <f t="shared" si="390"/>
        <v>0</v>
      </c>
      <c r="V261" s="523">
        <f t="shared" si="366"/>
        <v>0</v>
      </c>
      <c r="W261" s="524">
        <f>IF(ISBLANK(A261),0,IF(ISNA(VLOOKUP($I261,Veg_Parameters!$A$3:$N$65,10,FALSE)),0,(VLOOKUP($I261,Veg_Parameters!$A$3:$N$65,10,FALSE))))</f>
        <v>0</v>
      </c>
      <c r="X261" s="524">
        <f>IF(ISBLANK(A261),0,IF(ISNA(VLOOKUP($I261,Veg_Parameters!$A$3:$N$65,11,FALSE)),0,(VLOOKUP($I261,Veg_Parameters!$A$3:$N$65,11,FALSE))))</f>
        <v>0</v>
      </c>
      <c r="Y261" s="524">
        <f>IF(ISBLANK(A261),0,IF(ISNA(VLOOKUP($I261,Veg_Parameters!$A$3:$N$65,12,FALSE)),0,(VLOOKUP($I261,Veg_Parameters!$A$3:$N$65,12,FALSE))))</f>
        <v>0</v>
      </c>
      <c r="Z261" s="525">
        <f t="shared" si="367"/>
        <v>0</v>
      </c>
      <c r="AA261" s="525">
        <f t="shared" si="368"/>
        <v>0</v>
      </c>
      <c r="AB261" s="525">
        <f t="shared" si="369"/>
        <v>0</v>
      </c>
      <c r="AC261" s="524">
        <f>IF(ISBLANK(N261),0,IF(ISNA(VLOOKUP($N261,Veg_Parameters!$A$3:$N$65,10,FALSE)),0,(VLOOKUP($N261,Veg_Parameters!$A$3:$N$65,10,FALSE))))</f>
        <v>0</v>
      </c>
      <c r="AD261" s="524">
        <f>IF(ISBLANK(N261),0,IF(ISNA(VLOOKUP($N261,Veg_Parameters!$A$3:$N$65,11,FALSE)),0,(VLOOKUP($N261,Veg_Parameters!$A$3:$N$65,11,FALSE))))</f>
        <v>0</v>
      </c>
      <c r="AE261" s="524">
        <f>IF(ISBLANK(N261), 0, IF(ISNA(VLOOKUP($N261,Veg_Parameters!$A$3:$N$65,12,FALSE)),0,(VLOOKUP($N261,Veg_Parameters!$A$3:$N$65,12,FALSE))))</f>
        <v>0</v>
      </c>
      <c r="AF261" s="523">
        <f t="shared" si="370"/>
        <v>0</v>
      </c>
      <c r="AG261" s="523">
        <f t="shared" si="371"/>
        <v>0</v>
      </c>
      <c r="AH261" s="523">
        <f t="shared" si="372"/>
        <v>0</v>
      </c>
      <c r="AI261" s="526"/>
      <c r="AJ261" s="527">
        <f>AB261*(IF(ISNA(VLOOKUP($I261,Veg_Parameters!$A$3:$N$65,5,FALSE)),0,(VLOOKUP($I261,Veg_Parameters!$A$3:$N$65,5,FALSE))))</f>
        <v>0</v>
      </c>
      <c r="AK261" s="527">
        <f>IF(ISNA(VLOOKUP($I261,Veg_Parameters!$A$3:$N$65,4,FALSE)),0,(VLOOKUP($I261,Veg_Parameters!$A$3:$N$65,4,FALSE)))</f>
        <v>0</v>
      </c>
      <c r="AL261" s="527">
        <f>AB261*(IF(ISNA(VLOOKUP($I261,Veg_Parameters!$A$3:$N$65,7,FALSE)),0, (VLOOKUP($I261,Veg_Parameters!$A$3:$N$65,7,FALSE))))</f>
        <v>0</v>
      </c>
      <c r="AM261" s="528">
        <f>IF(ISNA(VLOOKUP($I261,Veg_Parameters!$A$3:$N$65,6,FALSE)), 0, (VLOOKUP($I261,Veg_Parameters!$A$3:$N$65,6,FALSE)))</f>
        <v>0</v>
      </c>
      <c r="AN261" s="529">
        <f t="shared" si="373"/>
        <v>20</v>
      </c>
      <c r="AO261" s="529">
        <f t="shared" si="374"/>
        <v>0</v>
      </c>
      <c r="AP261" s="529">
        <f t="shared" si="375"/>
        <v>0</v>
      </c>
      <c r="AQ261" s="530">
        <f t="shared" si="391"/>
        <v>0</v>
      </c>
      <c r="AR261" s="527" t="s">
        <v>3</v>
      </c>
      <c r="AS261" s="527">
        <f>IF(ISNA(VLOOKUP($I261,Veg_Parameters!$A$3:$N$65,8,FALSE)), 0, (VLOOKUP($I261,Veg_Parameters!$A$3:$N$65,8,FALSE)))</f>
        <v>0</v>
      </c>
      <c r="AT261" s="527">
        <f>AB261*(IF(ISNA(VLOOKUP($I261,Veg_Parameters!$A$3:$N$65,9,FALSE)), 0, (VLOOKUP($I261,Veg_Parameters!$A$3:$N$65,9,FALSE))))</f>
        <v>0</v>
      </c>
      <c r="AU261" s="527">
        <f>IF(ISBLANK(A261),0,VLOOKUP($I261,Veg_Parameters!$A$4:$U$65,21,))</f>
        <v>0</v>
      </c>
      <c r="AV261" s="527">
        <f t="shared" si="392"/>
        <v>0</v>
      </c>
      <c r="AW261" s="529">
        <f t="shared" si="393"/>
        <v>0</v>
      </c>
      <c r="AX261" s="529">
        <f t="shared" si="394"/>
        <v>0</v>
      </c>
      <c r="AY261" s="529">
        <f t="shared" si="376"/>
        <v>0</v>
      </c>
      <c r="AZ261" s="529">
        <f t="shared" si="395"/>
        <v>0</v>
      </c>
      <c r="BA261" s="529">
        <f t="shared" si="396"/>
        <v>0</v>
      </c>
      <c r="BB261" s="529">
        <f t="shared" si="397"/>
        <v>0</v>
      </c>
      <c r="BC261" s="529">
        <f t="shared" si="377"/>
        <v>0</v>
      </c>
      <c r="BD261" s="531"/>
      <c r="BE261" s="527">
        <f>AH261*(IF(ISNA(VLOOKUP($N261,Veg_Parameters!$A$3:$N$65,5,FALSE)),0,(VLOOKUP($N261,Veg_Parameters!$A$3:$N$65,5,FALSE))))</f>
        <v>0</v>
      </c>
      <c r="BF261" s="527">
        <f>IF(ISNA(VLOOKUP($N261,Veg_Parameters!$A$3:$N$65,4,FALSE)),0,(VLOOKUP($N261,Veg_Parameters!$A$3:$N$65,4,FALSE)))</f>
        <v>0</v>
      </c>
      <c r="BG261" s="527">
        <f>AH261*(IF(ISNA(VLOOKUP($N261,Veg_Parameters!$A$3:$N$65,7,FALSE)),0, (VLOOKUP($N261,Veg_Parameters!$A$3:$N$65,7,FALSE))))</f>
        <v>0</v>
      </c>
      <c r="BH261" s="527">
        <f>IF(ISNA(VLOOKUP($N261,Veg_Parameters!$A$3:$N$65,6,FALSE)), 0, (VLOOKUP($N261,Veg_Parameters!$A$3:$N$65,6,FALSE)))</f>
        <v>0</v>
      </c>
      <c r="BI261" s="529">
        <f t="shared" si="378"/>
        <v>20</v>
      </c>
      <c r="BJ261" s="529">
        <f t="shared" si="398"/>
        <v>0</v>
      </c>
      <c r="BK261" s="529">
        <f t="shared" si="379"/>
        <v>0</v>
      </c>
      <c r="BL261" s="530">
        <f t="shared" si="399"/>
        <v>0</v>
      </c>
      <c r="BM261" s="527" t="s">
        <v>3</v>
      </c>
      <c r="BN261" s="527">
        <f>IF(ISNA(VLOOKUP(N261,Veg_Parameters!$A$3:$N$65,8,FALSE)), 0, (VLOOKUP($N261,Veg_Parameters!$A$3:$N$65,8,FALSE)))</f>
        <v>0</v>
      </c>
      <c r="BO261" s="527">
        <f>AH261*(IF(ISNA(VLOOKUP($N261,Veg_Parameters!$A$3:$N$65,9,FALSE)), 0, (VLOOKUP($N261,Veg_Parameters!$A$3:$N$65,9,FALSE))))</f>
        <v>0</v>
      </c>
      <c r="BP261" s="527" t="str">
        <f>IF(ISBLANK(N261),"0",VLOOKUP($N261,Veg_Parameters!$A$4:$U$65,21,))</f>
        <v>0</v>
      </c>
      <c r="BQ261" s="529">
        <f t="shared" si="400"/>
        <v>0</v>
      </c>
      <c r="BR261" s="529">
        <f t="shared" si="401"/>
        <v>0</v>
      </c>
      <c r="BS261" s="529">
        <f t="shared" si="380"/>
        <v>0</v>
      </c>
      <c r="BT261" s="529">
        <f t="shared" si="402"/>
        <v>0</v>
      </c>
      <c r="BU261" s="529">
        <f t="shared" si="403"/>
        <v>0</v>
      </c>
      <c r="BV261" s="529">
        <f t="shared" si="404"/>
        <v>0</v>
      </c>
      <c r="BW261" s="532" t="str">
        <f t="shared" si="381"/>
        <v/>
      </c>
      <c r="BX261" s="532" t="str">
        <f t="shared" si="382"/>
        <v/>
      </c>
      <c r="BY261" s="532" t="str">
        <f t="shared" si="383"/>
        <v/>
      </c>
      <c r="BZ261" s="532" t="str">
        <f t="shared" si="384"/>
        <v/>
      </c>
      <c r="CA261" s="532">
        <f t="shared" si="385"/>
        <v>0</v>
      </c>
      <c r="CB261" s="533"/>
      <c r="CC261" s="624">
        <f t="shared" si="386"/>
        <v>0</v>
      </c>
      <c r="CD261" s="534">
        <f t="shared" si="387"/>
        <v>0</v>
      </c>
      <c r="CE261" s="534">
        <f t="shared" si="388"/>
        <v>0</v>
      </c>
      <c r="CF261" s="534">
        <f t="shared" si="389"/>
        <v>0</v>
      </c>
      <c r="CG261" s="534"/>
      <c r="CH261" s="534"/>
      <c r="CI261" s="534">
        <f t="shared" si="405"/>
        <v>0</v>
      </c>
      <c r="CL261" s="534">
        <f>IF(ISNA(VLOOKUP(I261,Veg_Parameters!$A$3:$N$65,13,FALSE)),0,(VLOOKUP(I261,Veg_Parameters!$A$3:$N$65,13,FALSE)))</f>
        <v>0</v>
      </c>
      <c r="CM261" s="534">
        <f t="shared" si="406"/>
        <v>0</v>
      </c>
      <c r="CN261" s="534">
        <f>IF(ISNA(VLOOKUP(N261,Veg_Parameters!$A$3:$N$65,13,FALSE)),0,(VLOOKUP(N261,Veg_Parameters!$A$3:$N$65,13,FALSE)))</f>
        <v>0</v>
      </c>
      <c r="CO261" s="523">
        <f t="shared" si="407"/>
        <v>0</v>
      </c>
    </row>
    <row r="262" spans="1:93" x14ac:dyDescent="0.2">
      <c r="A262" s="227"/>
      <c r="B262" s="171" t="str">
        <f t="shared" si="408"/>
        <v/>
      </c>
      <c r="C262" s="230"/>
      <c r="D262" s="169"/>
      <c r="E262" s="165"/>
      <c r="F262" s="165"/>
      <c r="G262" s="165"/>
      <c r="H262" s="165"/>
      <c r="I262" s="168"/>
      <c r="J262" s="167"/>
      <c r="K262" s="168"/>
      <c r="L262" s="167"/>
      <c r="M262" s="167"/>
      <c r="N262" s="168"/>
      <c r="O262" s="168"/>
      <c r="P262" s="167"/>
      <c r="Q262" s="167"/>
      <c r="R262" s="167"/>
      <c r="S262" s="222" t="str">
        <f>IF(ISBLANK(A262),"",IF(ISNA(VLOOKUP(I262,Veg_Parameters!$A$3:$N$65,3,FALSE)),0,(VLOOKUP(I262,Veg_Parameters!$A$3:$N$65,3,FALSE))))</f>
        <v/>
      </c>
      <c r="T262" s="222" t="str">
        <f>IF(ISBLANK(N262),"",IF(ISNA(VLOOKUP(N262,Veg_Parameters!$A$3:$N$65,3,FALSE)),0,(VLOOKUP(N262,Veg_Parameters!$A$3:$N$65,3,FALSE))))</f>
        <v/>
      </c>
      <c r="U262" s="523">
        <f t="shared" si="390"/>
        <v>0</v>
      </c>
      <c r="V262" s="523">
        <f t="shared" si="366"/>
        <v>0</v>
      </c>
      <c r="W262" s="524">
        <f>IF(ISBLANK(A262),0,IF(ISNA(VLOOKUP($I262,Veg_Parameters!$A$3:$N$65,10,FALSE)),0,(VLOOKUP($I262,Veg_Parameters!$A$3:$N$65,10,FALSE))))</f>
        <v>0</v>
      </c>
      <c r="X262" s="524">
        <f>IF(ISBLANK(A262),0,IF(ISNA(VLOOKUP($I262,Veg_Parameters!$A$3:$N$65,11,FALSE)),0,(VLOOKUP($I262,Veg_Parameters!$A$3:$N$65,11,FALSE))))</f>
        <v>0</v>
      </c>
      <c r="Y262" s="524">
        <f>IF(ISBLANK(A262),0,IF(ISNA(VLOOKUP($I262,Veg_Parameters!$A$3:$N$65,12,FALSE)),0,(VLOOKUP($I262,Veg_Parameters!$A$3:$N$65,12,FALSE))))</f>
        <v>0</v>
      </c>
      <c r="Z262" s="525">
        <f t="shared" si="367"/>
        <v>0</v>
      </c>
      <c r="AA262" s="525">
        <f t="shared" si="368"/>
        <v>0</v>
      </c>
      <c r="AB262" s="525">
        <f t="shared" si="369"/>
        <v>0</v>
      </c>
      <c r="AC262" s="524">
        <f>IF(ISBLANK(N262),0,IF(ISNA(VLOOKUP($N262,Veg_Parameters!$A$3:$N$65,10,FALSE)),0,(VLOOKUP($N262,Veg_Parameters!$A$3:$N$65,10,FALSE))))</f>
        <v>0</v>
      </c>
      <c r="AD262" s="524">
        <f>IF(ISBLANK(N262),0,IF(ISNA(VLOOKUP($N262,Veg_Parameters!$A$3:$N$65,11,FALSE)),0,(VLOOKUP($N262,Veg_Parameters!$A$3:$N$65,11,FALSE))))</f>
        <v>0</v>
      </c>
      <c r="AE262" s="524">
        <f>IF(ISBLANK(N262), 0, IF(ISNA(VLOOKUP($N262,Veg_Parameters!$A$3:$N$65,12,FALSE)),0,(VLOOKUP($N262,Veg_Parameters!$A$3:$N$65,12,FALSE))))</f>
        <v>0</v>
      </c>
      <c r="AF262" s="523">
        <f t="shared" si="370"/>
        <v>0</v>
      </c>
      <c r="AG262" s="523">
        <f t="shared" si="371"/>
        <v>0</v>
      </c>
      <c r="AH262" s="523">
        <f t="shared" si="372"/>
        <v>0</v>
      </c>
      <c r="AI262" s="526"/>
      <c r="AJ262" s="527">
        <f>AB262*(IF(ISNA(VLOOKUP($I262,Veg_Parameters!$A$3:$N$65,5,FALSE)),0,(VLOOKUP($I262,Veg_Parameters!$A$3:$N$65,5,FALSE))))</f>
        <v>0</v>
      </c>
      <c r="AK262" s="527">
        <f>IF(ISNA(VLOOKUP($I262,Veg_Parameters!$A$3:$N$65,4,FALSE)),0,(VLOOKUP($I262,Veg_Parameters!$A$3:$N$65,4,FALSE)))</f>
        <v>0</v>
      </c>
      <c r="AL262" s="527">
        <f>AB262*(IF(ISNA(VLOOKUP($I262,Veg_Parameters!$A$3:$N$65,7,FALSE)),0, (VLOOKUP($I262,Veg_Parameters!$A$3:$N$65,7,FALSE))))</f>
        <v>0</v>
      </c>
      <c r="AM262" s="528">
        <f>IF(ISNA(VLOOKUP($I262,Veg_Parameters!$A$3:$N$65,6,FALSE)), 0, (VLOOKUP($I262,Veg_Parameters!$A$3:$N$65,6,FALSE)))</f>
        <v>0</v>
      </c>
      <c r="AN262" s="529">
        <f t="shared" si="373"/>
        <v>20</v>
      </c>
      <c r="AO262" s="529">
        <f t="shared" si="374"/>
        <v>0</v>
      </c>
      <c r="AP262" s="529">
        <f t="shared" si="375"/>
        <v>0</v>
      </c>
      <c r="AQ262" s="530">
        <f t="shared" si="391"/>
        <v>0</v>
      </c>
      <c r="AR262" s="527" t="s">
        <v>3</v>
      </c>
      <c r="AS262" s="527">
        <f>IF(ISNA(VLOOKUP($I262,Veg_Parameters!$A$3:$N$65,8,FALSE)), 0, (VLOOKUP($I262,Veg_Parameters!$A$3:$N$65,8,FALSE)))</f>
        <v>0</v>
      </c>
      <c r="AT262" s="527">
        <f>AB262*(IF(ISNA(VLOOKUP($I262,Veg_Parameters!$A$3:$N$65,9,FALSE)), 0, (VLOOKUP($I262,Veg_Parameters!$A$3:$N$65,9,FALSE))))</f>
        <v>0</v>
      </c>
      <c r="AU262" s="527">
        <f>IF(ISBLANK(A262),0,VLOOKUP($I262,Veg_Parameters!$A$4:$U$65,21,))</f>
        <v>0</v>
      </c>
      <c r="AV262" s="527">
        <f t="shared" si="392"/>
        <v>0</v>
      </c>
      <c r="AW262" s="529">
        <f t="shared" si="393"/>
        <v>0</v>
      </c>
      <c r="AX262" s="529">
        <f t="shared" si="394"/>
        <v>0</v>
      </c>
      <c r="AY262" s="529">
        <f t="shared" si="376"/>
        <v>0</v>
      </c>
      <c r="AZ262" s="529">
        <f t="shared" si="395"/>
        <v>0</v>
      </c>
      <c r="BA262" s="529">
        <f t="shared" si="396"/>
        <v>0</v>
      </c>
      <c r="BB262" s="529">
        <f t="shared" si="397"/>
        <v>0</v>
      </c>
      <c r="BC262" s="529">
        <f t="shared" si="377"/>
        <v>0</v>
      </c>
      <c r="BD262" s="531"/>
      <c r="BE262" s="527">
        <f>AH262*(IF(ISNA(VLOOKUP($N262,Veg_Parameters!$A$3:$N$65,5,FALSE)),0,(VLOOKUP($N262,Veg_Parameters!$A$3:$N$65,5,FALSE))))</f>
        <v>0</v>
      </c>
      <c r="BF262" s="527">
        <f>IF(ISNA(VLOOKUP($N262,Veg_Parameters!$A$3:$N$65,4,FALSE)),0,(VLOOKUP($N262,Veg_Parameters!$A$3:$N$65,4,FALSE)))</f>
        <v>0</v>
      </c>
      <c r="BG262" s="527">
        <f>AH262*(IF(ISNA(VLOOKUP($N262,Veg_Parameters!$A$3:$N$65,7,FALSE)),0, (VLOOKUP($N262,Veg_Parameters!$A$3:$N$65,7,FALSE))))</f>
        <v>0</v>
      </c>
      <c r="BH262" s="527">
        <f>IF(ISNA(VLOOKUP($N262,Veg_Parameters!$A$3:$N$65,6,FALSE)), 0, (VLOOKUP($N262,Veg_Parameters!$A$3:$N$65,6,FALSE)))</f>
        <v>0</v>
      </c>
      <c r="BI262" s="529">
        <f t="shared" si="378"/>
        <v>20</v>
      </c>
      <c r="BJ262" s="529">
        <f t="shared" si="398"/>
        <v>0</v>
      </c>
      <c r="BK262" s="529">
        <f t="shared" si="379"/>
        <v>0</v>
      </c>
      <c r="BL262" s="530">
        <f t="shared" si="399"/>
        <v>0</v>
      </c>
      <c r="BM262" s="527" t="s">
        <v>3</v>
      </c>
      <c r="BN262" s="527">
        <f>IF(ISNA(VLOOKUP(N262,Veg_Parameters!$A$3:$N$65,8,FALSE)), 0, (VLOOKUP($N262,Veg_Parameters!$A$3:$N$65,8,FALSE)))</f>
        <v>0</v>
      </c>
      <c r="BO262" s="527">
        <f>AH262*(IF(ISNA(VLOOKUP($N262,Veg_Parameters!$A$3:$N$65,9,FALSE)), 0, (VLOOKUP($N262,Veg_Parameters!$A$3:$N$65,9,FALSE))))</f>
        <v>0</v>
      </c>
      <c r="BP262" s="527" t="str">
        <f>IF(ISBLANK(N262),"0",VLOOKUP($N262,Veg_Parameters!$A$4:$U$65,21,))</f>
        <v>0</v>
      </c>
      <c r="BQ262" s="529">
        <f t="shared" si="400"/>
        <v>0</v>
      </c>
      <c r="BR262" s="529">
        <f t="shared" si="401"/>
        <v>0</v>
      </c>
      <c r="BS262" s="529">
        <f t="shared" si="380"/>
        <v>0</v>
      </c>
      <c r="BT262" s="529">
        <f t="shared" si="402"/>
        <v>0</v>
      </c>
      <c r="BU262" s="529">
        <f t="shared" si="403"/>
        <v>0</v>
      </c>
      <c r="BV262" s="529">
        <f t="shared" si="404"/>
        <v>0</v>
      </c>
      <c r="BW262" s="532" t="str">
        <f t="shared" si="381"/>
        <v/>
      </c>
      <c r="BX262" s="532" t="str">
        <f t="shared" si="382"/>
        <v/>
      </c>
      <c r="BY262" s="532" t="str">
        <f t="shared" si="383"/>
        <v/>
      </c>
      <c r="BZ262" s="532" t="str">
        <f t="shared" si="384"/>
        <v/>
      </c>
      <c r="CA262" s="532">
        <f t="shared" si="385"/>
        <v>0</v>
      </c>
      <c r="CB262" s="533"/>
      <c r="CC262" s="624">
        <f t="shared" si="386"/>
        <v>0</v>
      </c>
      <c r="CD262" s="534">
        <f t="shared" si="387"/>
        <v>0</v>
      </c>
      <c r="CE262" s="534">
        <f t="shared" si="388"/>
        <v>0</v>
      </c>
      <c r="CF262" s="534">
        <f t="shared" si="389"/>
        <v>0</v>
      </c>
      <c r="CG262" s="534"/>
      <c r="CH262" s="534"/>
      <c r="CI262" s="534">
        <f t="shared" si="405"/>
        <v>0</v>
      </c>
      <c r="CL262" s="534">
        <f>IF(ISNA(VLOOKUP(I262,Veg_Parameters!$A$3:$N$65,13,FALSE)),0,(VLOOKUP(I262,Veg_Parameters!$A$3:$N$65,13,FALSE)))</f>
        <v>0</v>
      </c>
      <c r="CM262" s="534">
        <f t="shared" si="406"/>
        <v>0</v>
      </c>
      <c r="CN262" s="534">
        <f>IF(ISNA(VLOOKUP(N262,Veg_Parameters!$A$3:$N$65,13,FALSE)),0,(VLOOKUP(N262,Veg_Parameters!$A$3:$N$65,13,FALSE)))</f>
        <v>0</v>
      </c>
      <c r="CO262" s="523">
        <f t="shared" si="407"/>
        <v>0</v>
      </c>
    </row>
    <row r="263" spans="1:93" x14ac:dyDescent="0.2">
      <c r="A263" s="227"/>
      <c r="B263" s="171" t="str">
        <f t="shared" si="408"/>
        <v/>
      </c>
      <c r="C263" s="230"/>
      <c r="D263" s="169"/>
      <c r="E263" s="165"/>
      <c r="F263" s="165"/>
      <c r="G263" s="165"/>
      <c r="H263" s="165"/>
      <c r="I263" s="168"/>
      <c r="J263" s="167"/>
      <c r="K263" s="168"/>
      <c r="L263" s="167"/>
      <c r="M263" s="167"/>
      <c r="N263" s="168"/>
      <c r="O263" s="168"/>
      <c r="P263" s="167"/>
      <c r="Q263" s="167"/>
      <c r="R263" s="167"/>
      <c r="S263" s="222" t="str">
        <f>IF(ISBLANK(A263),"",IF(ISNA(VLOOKUP(I263,Veg_Parameters!$A$3:$N$65,3,FALSE)),0,(VLOOKUP(I263,Veg_Parameters!$A$3:$N$65,3,FALSE))))</f>
        <v/>
      </c>
      <c r="T263" s="222" t="str">
        <f>IF(ISBLANK(N263),"",IF(ISNA(VLOOKUP(N263,Veg_Parameters!$A$3:$N$65,3,FALSE)),0,(VLOOKUP(N263,Veg_Parameters!$A$3:$N$65,3,FALSE))))</f>
        <v/>
      </c>
      <c r="U263" s="523">
        <f t="shared" si="390"/>
        <v>0</v>
      </c>
      <c r="V263" s="523">
        <f t="shared" si="366"/>
        <v>0</v>
      </c>
      <c r="W263" s="524">
        <f>IF(ISBLANK(A263),0,IF(ISNA(VLOOKUP($I263,Veg_Parameters!$A$3:$N$65,10,FALSE)),0,(VLOOKUP($I263,Veg_Parameters!$A$3:$N$65,10,FALSE))))</f>
        <v>0</v>
      </c>
      <c r="X263" s="524">
        <f>IF(ISBLANK(A263),0,IF(ISNA(VLOOKUP($I263,Veg_Parameters!$A$3:$N$65,11,FALSE)),0,(VLOOKUP($I263,Veg_Parameters!$A$3:$N$65,11,FALSE))))</f>
        <v>0</v>
      </c>
      <c r="Y263" s="524">
        <f>IF(ISBLANK(A263),0,IF(ISNA(VLOOKUP($I263,Veg_Parameters!$A$3:$N$65,12,FALSE)),0,(VLOOKUP($I263,Veg_Parameters!$A$3:$N$65,12,FALSE))))</f>
        <v>0</v>
      </c>
      <c r="Z263" s="525">
        <f t="shared" si="367"/>
        <v>0</v>
      </c>
      <c r="AA263" s="525">
        <f t="shared" si="368"/>
        <v>0</v>
      </c>
      <c r="AB263" s="525">
        <f t="shared" si="369"/>
        <v>0</v>
      </c>
      <c r="AC263" s="524">
        <f>IF(ISBLANK(N263),0,IF(ISNA(VLOOKUP($N263,Veg_Parameters!$A$3:$N$65,10,FALSE)),0,(VLOOKUP($N263,Veg_Parameters!$A$3:$N$65,10,FALSE))))</f>
        <v>0</v>
      </c>
      <c r="AD263" s="524">
        <f>IF(ISBLANK(N263),0,IF(ISNA(VLOOKUP($N263,Veg_Parameters!$A$3:$N$65,11,FALSE)),0,(VLOOKUP($N263,Veg_Parameters!$A$3:$N$65,11,FALSE))))</f>
        <v>0</v>
      </c>
      <c r="AE263" s="524">
        <f>IF(ISBLANK(N263), 0, IF(ISNA(VLOOKUP($N263,Veg_Parameters!$A$3:$N$65,12,FALSE)),0,(VLOOKUP($N263,Veg_Parameters!$A$3:$N$65,12,FALSE))))</f>
        <v>0</v>
      </c>
      <c r="AF263" s="523">
        <f t="shared" si="370"/>
        <v>0</v>
      </c>
      <c r="AG263" s="523">
        <f t="shared" si="371"/>
        <v>0</v>
      </c>
      <c r="AH263" s="523">
        <f t="shared" si="372"/>
        <v>0</v>
      </c>
      <c r="AI263" s="526"/>
      <c r="AJ263" s="527">
        <f>AB263*(IF(ISNA(VLOOKUP($I263,Veg_Parameters!$A$3:$N$65,5,FALSE)),0,(VLOOKUP($I263,Veg_Parameters!$A$3:$N$65,5,FALSE))))</f>
        <v>0</v>
      </c>
      <c r="AK263" s="527">
        <f>IF(ISNA(VLOOKUP($I263,Veg_Parameters!$A$3:$N$65,4,FALSE)),0,(VLOOKUP($I263,Veg_Parameters!$A$3:$N$65,4,FALSE)))</f>
        <v>0</v>
      </c>
      <c r="AL263" s="527">
        <f>AB263*(IF(ISNA(VLOOKUP($I263,Veg_Parameters!$A$3:$N$65,7,FALSE)),0, (VLOOKUP($I263,Veg_Parameters!$A$3:$N$65,7,FALSE))))</f>
        <v>0</v>
      </c>
      <c r="AM263" s="528">
        <f>IF(ISNA(VLOOKUP($I263,Veg_Parameters!$A$3:$N$65,6,FALSE)), 0, (VLOOKUP($I263,Veg_Parameters!$A$3:$N$65,6,FALSE)))</f>
        <v>0</v>
      </c>
      <c r="AN263" s="529">
        <f t="shared" si="373"/>
        <v>20</v>
      </c>
      <c r="AO263" s="529">
        <f t="shared" si="374"/>
        <v>0</v>
      </c>
      <c r="AP263" s="529">
        <f t="shared" si="375"/>
        <v>0</v>
      </c>
      <c r="AQ263" s="530">
        <f t="shared" si="391"/>
        <v>0</v>
      </c>
      <c r="AR263" s="527" t="s">
        <v>3</v>
      </c>
      <c r="AS263" s="527">
        <f>IF(ISNA(VLOOKUP($I263,Veg_Parameters!$A$3:$N$65,8,FALSE)), 0, (VLOOKUP($I263,Veg_Parameters!$A$3:$N$65,8,FALSE)))</f>
        <v>0</v>
      </c>
      <c r="AT263" s="527">
        <f>AB263*(IF(ISNA(VLOOKUP($I263,Veg_Parameters!$A$3:$N$65,9,FALSE)), 0, (VLOOKUP($I263,Veg_Parameters!$A$3:$N$65,9,FALSE))))</f>
        <v>0</v>
      </c>
      <c r="AU263" s="527">
        <f>IF(ISBLANK(A263),0,VLOOKUP($I263,Veg_Parameters!$A$4:$U$65,21,))</f>
        <v>0</v>
      </c>
      <c r="AV263" s="527">
        <f t="shared" si="392"/>
        <v>0</v>
      </c>
      <c r="AW263" s="529">
        <f t="shared" si="393"/>
        <v>0</v>
      </c>
      <c r="AX263" s="529">
        <f t="shared" si="394"/>
        <v>0</v>
      </c>
      <c r="AY263" s="529">
        <f t="shared" si="376"/>
        <v>0</v>
      </c>
      <c r="AZ263" s="529">
        <f t="shared" si="395"/>
        <v>0</v>
      </c>
      <c r="BA263" s="529">
        <f t="shared" si="396"/>
        <v>0</v>
      </c>
      <c r="BB263" s="529">
        <f t="shared" si="397"/>
        <v>0</v>
      </c>
      <c r="BC263" s="529">
        <f t="shared" si="377"/>
        <v>0</v>
      </c>
      <c r="BD263" s="531"/>
      <c r="BE263" s="527">
        <f>AH263*(IF(ISNA(VLOOKUP($N263,Veg_Parameters!$A$3:$N$65,5,FALSE)),0,(VLOOKUP($N263,Veg_Parameters!$A$3:$N$65,5,FALSE))))</f>
        <v>0</v>
      </c>
      <c r="BF263" s="527">
        <f>IF(ISNA(VLOOKUP($N263,Veg_Parameters!$A$3:$N$65,4,FALSE)),0,(VLOOKUP($N263,Veg_Parameters!$A$3:$N$65,4,FALSE)))</f>
        <v>0</v>
      </c>
      <c r="BG263" s="527">
        <f>AH263*(IF(ISNA(VLOOKUP($N263,Veg_Parameters!$A$3:$N$65,7,FALSE)),0, (VLOOKUP($N263,Veg_Parameters!$A$3:$N$65,7,FALSE))))</f>
        <v>0</v>
      </c>
      <c r="BH263" s="527">
        <f>IF(ISNA(VLOOKUP($N263,Veg_Parameters!$A$3:$N$65,6,FALSE)), 0, (VLOOKUP($N263,Veg_Parameters!$A$3:$N$65,6,FALSE)))</f>
        <v>0</v>
      </c>
      <c r="BI263" s="529">
        <f t="shared" si="378"/>
        <v>20</v>
      </c>
      <c r="BJ263" s="529">
        <f t="shared" si="398"/>
        <v>0</v>
      </c>
      <c r="BK263" s="529">
        <f t="shared" si="379"/>
        <v>0</v>
      </c>
      <c r="BL263" s="530">
        <f t="shared" si="399"/>
        <v>0</v>
      </c>
      <c r="BM263" s="527" t="s">
        <v>3</v>
      </c>
      <c r="BN263" s="527">
        <f>IF(ISNA(VLOOKUP(N263,Veg_Parameters!$A$3:$N$65,8,FALSE)), 0, (VLOOKUP($N263,Veg_Parameters!$A$3:$N$65,8,FALSE)))</f>
        <v>0</v>
      </c>
      <c r="BO263" s="527">
        <f>AH263*(IF(ISNA(VLOOKUP($N263,Veg_Parameters!$A$3:$N$65,9,FALSE)), 0, (VLOOKUP($N263,Veg_Parameters!$A$3:$N$65,9,FALSE))))</f>
        <v>0</v>
      </c>
      <c r="BP263" s="527" t="str">
        <f>IF(ISBLANK(N263),"0",VLOOKUP($N263,Veg_Parameters!$A$4:$U$65,21,))</f>
        <v>0</v>
      </c>
      <c r="BQ263" s="529">
        <f t="shared" si="400"/>
        <v>0</v>
      </c>
      <c r="BR263" s="529">
        <f t="shared" si="401"/>
        <v>0</v>
      </c>
      <c r="BS263" s="529">
        <f t="shared" si="380"/>
        <v>0</v>
      </c>
      <c r="BT263" s="529">
        <f t="shared" si="402"/>
        <v>0</v>
      </c>
      <c r="BU263" s="529">
        <f t="shared" si="403"/>
        <v>0</v>
      </c>
      <c r="BV263" s="529">
        <f t="shared" si="404"/>
        <v>0</v>
      </c>
      <c r="BW263" s="532" t="str">
        <f t="shared" si="381"/>
        <v/>
      </c>
      <c r="BX263" s="532" t="str">
        <f t="shared" si="382"/>
        <v/>
      </c>
      <c r="BY263" s="532" t="str">
        <f t="shared" si="383"/>
        <v/>
      </c>
      <c r="BZ263" s="532" t="str">
        <f t="shared" si="384"/>
        <v/>
      </c>
      <c r="CA263" s="532">
        <f t="shared" si="385"/>
        <v>0</v>
      </c>
      <c r="CB263" s="533"/>
      <c r="CC263" s="624">
        <f t="shared" si="386"/>
        <v>0</v>
      </c>
      <c r="CD263" s="534">
        <f t="shared" si="387"/>
        <v>0</v>
      </c>
      <c r="CE263" s="534">
        <f t="shared" si="388"/>
        <v>0</v>
      </c>
      <c r="CF263" s="534">
        <f t="shared" si="389"/>
        <v>0</v>
      </c>
      <c r="CG263" s="534"/>
      <c r="CH263" s="534"/>
      <c r="CI263" s="534">
        <f t="shared" si="405"/>
        <v>0</v>
      </c>
      <c r="CL263" s="534">
        <f>IF(ISNA(VLOOKUP(I263,Veg_Parameters!$A$3:$N$65,13,FALSE)),0,(VLOOKUP(I263,Veg_Parameters!$A$3:$N$65,13,FALSE)))</f>
        <v>0</v>
      </c>
      <c r="CM263" s="534">
        <f t="shared" si="406"/>
        <v>0</v>
      </c>
      <c r="CN263" s="534">
        <f>IF(ISNA(VLOOKUP(N263,Veg_Parameters!$A$3:$N$65,13,FALSE)),0,(VLOOKUP(N263,Veg_Parameters!$A$3:$N$65,13,FALSE)))</f>
        <v>0</v>
      </c>
      <c r="CO263" s="523">
        <f t="shared" si="407"/>
        <v>0</v>
      </c>
    </row>
    <row r="264" spans="1:93" x14ac:dyDescent="0.2">
      <c r="A264" s="227"/>
      <c r="B264" s="171" t="str">
        <f t="shared" si="408"/>
        <v/>
      </c>
      <c r="C264" s="292" t="s">
        <v>27</v>
      </c>
      <c r="D264" s="234"/>
      <c r="E264" s="165"/>
      <c r="F264" s="165"/>
      <c r="G264" s="165"/>
      <c r="H264" s="165"/>
      <c r="I264" s="168"/>
      <c r="J264" s="167"/>
      <c r="K264" s="168"/>
      <c r="L264" s="167"/>
      <c r="M264" s="167"/>
      <c r="N264" s="168"/>
      <c r="O264" s="168"/>
      <c r="P264" s="167"/>
      <c r="Q264" s="167"/>
      <c r="R264" s="167"/>
      <c r="S264" s="222" t="str">
        <f>IF(ISBLANK(A264),"",IF(ISNA(VLOOKUP(I264,Veg_Parameters!$A$3:$N$65,3,FALSE)),0,(VLOOKUP(I264,Veg_Parameters!$A$3:$N$65,3,FALSE))))</f>
        <v/>
      </c>
      <c r="T264" s="222" t="str">
        <f>IF(ISBLANK(N264),"",IF(ISNA(VLOOKUP(N264,Veg_Parameters!$A$3:$N$65,3,FALSE)),0,(VLOOKUP(N264,Veg_Parameters!$A$3:$N$65,3,FALSE))))</f>
        <v/>
      </c>
      <c r="U264" s="523">
        <f t="shared" si="390"/>
        <v>0</v>
      </c>
      <c r="V264" s="523">
        <f t="shared" si="366"/>
        <v>0</v>
      </c>
      <c r="W264" s="524">
        <f>IF(ISBLANK(A264),0,IF(ISNA(VLOOKUP($I264,Veg_Parameters!$A$3:$N$65,10,FALSE)),0,(VLOOKUP($I264,Veg_Parameters!$A$3:$N$65,10,FALSE))))</f>
        <v>0</v>
      </c>
      <c r="X264" s="524">
        <f>IF(ISBLANK(A264),0,IF(ISNA(VLOOKUP($I264,Veg_Parameters!$A$3:$N$65,11,FALSE)),0,(VLOOKUP($I264,Veg_Parameters!$A$3:$N$65,11,FALSE))))</f>
        <v>0</v>
      </c>
      <c r="Y264" s="524">
        <f>IF(ISBLANK(A264),0,IF(ISNA(VLOOKUP($I264,Veg_Parameters!$A$3:$N$65,12,FALSE)),0,(VLOOKUP($I264,Veg_Parameters!$A$3:$N$65,12,FALSE))))</f>
        <v>0</v>
      </c>
      <c r="Z264" s="525">
        <f t="shared" si="367"/>
        <v>0</v>
      </c>
      <c r="AA264" s="525">
        <f t="shared" si="368"/>
        <v>0</v>
      </c>
      <c r="AB264" s="525">
        <f t="shared" si="369"/>
        <v>0</v>
      </c>
      <c r="AC264" s="524">
        <f>IF(ISBLANK(N264),0,IF(ISNA(VLOOKUP($N264,Veg_Parameters!$A$3:$N$65,10,FALSE)),0,(VLOOKUP($N264,Veg_Parameters!$A$3:$N$65,10,FALSE))))</f>
        <v>0</v>
      </c>
      <c r="AD264" s="524">
        <f>IF(ISBLANK(N264),0,IF(ISNA(VLOOKUP($N264,Veg_Parameters!$A$3:$N$65,11,FALSE)),0,(VLOOKUP($N264,Veg_Parameters!$A$3:$N$65,11,FALSE))))</f>
        <v>0</v>
      </c>
      <c r="AE264" s="524">
        <f>IF(ISBLANK(N264), 0, IF(ISNA(VLOOKUP($N264,Veg_Parameters!$A$3:$N$65,12,FALSE)),0,(VLOOKUP($N264,Veg_Parameters!$A$3:$N$65,12,FALSE))))</f>
        <v>0</v>
      </c>
      <c r="AF264" s="523">
        <f t="shared" si="370"/>
        <v>0</v>
      </c>
      <c r="AG264" s="523">
        <f t="shared" si="371"/>
        <v>0</v>
      </c>
      <c r="AH264" s="523">
        <f t="shared" si="372"/>
        <v>0</v>
      </c>
      <c r="AI264" s="526"/>
      <c r="AJ264" s="527">
        <f>AB264*(IF(ISNA(VLOOKUP($I264,Veg_Parameters!$A$3:$N$65,5,FALSE)),0,(VLOOKUP($I264,Veg_Parameters!$A$3:$N$65,5,FALSE))))</f>
        <v>0</v>
      </c>
      <c r="AK264" s="527">
        <f>IF(ISNA(VLOOKUP($I264,Veg_Parameters!$A$3:$N$65,4,FALSE)),0,(VLOOKUP($I264,Veg_Parameters!$A$3:$N$65,4,FALSE)))</f>
        <v>0</v>
      </c>
      <c r="AL264" s="527">
        <f>AB264*(IF(ISNA(VLOOKUP($I264,Veg_Parameters!$A$3:$N$65,7,FALSE)),0, (VLOOKUP($I264,Veg_Parameters!$A$3:$N$65,7,FALSE))))</f>
        <v>0</v>
      </c>
      <c r="AM264" s="528">
        <f>IF(ISNA(VLOOKUP($I264,Veg_Parameters!$A$3:$N$65,6,FALSE)), 0, (VLOOKUP($I264,Veg_Parameters!$A$3:$N$65,6,FALSE)))</f>
        <v>0</v>
      </c>
      <c r="AN264" s="529">
        <f t="shared" si="373"/>
        <v>20</v>
      </c>
      <c r="AO264" s="529">
        <f t="shared" si="374"/>
        <v>0</v>
      </c>
      <c r="AP264" s="529">
        <f t="shared" si="375"/>
        <v>0</v>
      </c>
      <c r="AQ264" s="530">
        <f t="shared" si="391"/>
        <v>0</v>
      </c>
      <c r="AR264" s="527" t="s">
        <v>3</v>
      </c>
      <c r="AS264" s="527">
        <f>IF(ISNA(VLOOKUP($I264,Veg_Parameters!$A$3:$N$65,8,FALSE)), 0, (VLOOKUP($I264,Veg_Parameters!$A$3:$N$65,8,FALSE)))</f>
        <v>0</v>
      </c>
      <c r="AT264" s="527">
        <f>AB264*(IF(ISNA(VLOOKUP($I264,Veg_Parameters!$A$3:$N$65,9,FALSE)), 0, (VLOOKUP($I264,Veg_Parameters!$A$3:$N$65,9,FALSE))))</f>
        <v>0</v>
      </c>
      <c r="AU264" s="527">
        <f>IF(ISBLANK(A264),0,VLOOKUP($I264,Veg_Parameters!$A$4:$U$65,21,))</f>
        <v>0</v>
      </c>
      <c r="AV264" s="527">
        <f t="shared" si="392"/>
        <v>0</v>
      </c>
      <c r="AW264" s="529">
        <f t="shared" si="393"/>
        <v>0</v>
      </c>
      <c r="AX264" s="529">
        <f t="shared" si="394"/>
        <v>0</v>
      </c>
      <c r="AY264" s="529">
        <f t="shared" si="376"/>
        <v>0</v>
      </c>
      <c r="AZ264" s="529">
        <f t="shared" si="395"/>
        <v>0</v>
      </c>
      <c r="BA264" s="529">
        <f t="shared" si="396"/>
        <v>0</v>
      </c>
      <c r="BB264" s="529">
        <f t="shared" si="397"/>
        <v>0</v>
      </c>
      <c r="BC264" s="529">
        <f t="shared" si="377"/>
        <v>0</v>
      </c>
      <c r="BD264" s="531"/>
      <c r="BE264" s="527">
        <f>AH264*(IF(ISNA(VLOOKUP($N264,Veg_Parameters!$A$3:$N$65,5,FALSE)),0,(VLOOKUP($N264,Veg_Parameters!$A$3:$N$65,5,FALSE))))</f>
        <v>0</v>
      </c>
      <c r="BF264" s="527">
        <f>IF(ISNA(VLOOKUP($N264,Veg_Parameters!$A$3:$N$65,4,FALSE)),0,(VLOOKUP($N264,Veg_Parameters!$A$3:$N$65,4,FALSE)))</f>
        <v>0</v>
      </c>
      <c r="BG264" s="527">
        <f>AH264*(IF(ISNA(VLOOKUP($N264,Veg_Parameters!$A$3:$N$65,7,FALSE)),0, (VLOOKUP($N264,Veg_Parameters!$A$3:$N$65,7,FALSE))))</f>
        <v>0</v>
      </c>
      <c r="BH264" s="527">
        <f>IF(ISNA(VLOOKUP($N264,Veg_Parameters!$A$3:$N$65,6,FALSE)), 0, (VLOOKUP($N264,Veg_Parameters!$A$3:$N$65,6,FALSE)))</f>
        <v>0</v>
      </c>
      <c r="BI264" s="529">
        <f t="shared" si="378"/>
        <v>20</v>
      </c>
      <c r="BJ264" s="529">
        <f t="shared" si="398"/>
        <v>0</v>
      </c>
      <c r="BK264" s="529">
        <f t="shared" si="379"/>
        <v>0</v>
      </c>
      <c r="BL264" s="530">
        <f t="shared" si="399"/>
        <v>0</v>
      </c>
      <c r="BM264" s="527" t="s">
        <v>3</v>
      </c>
      <c r="BN264" s="527">
        <f>IF(ISNA(VLOOKUP(N264,Veg_Parameters!$A$3:$N$65,8,FALSE)), 0, (VLOOKUP($N264,Veg_Parameters!$A$3:$N$65,8,FALSE)))</f>
        <v>0</v>
      </c>
      <c r="BO264" s="527">
        <f>AH264*(IF(ISNA(VLOOKUP($N264,Veg_Parameters!$A$3:$N$65,9,FALSE)), 0, (VLOOKUP($N264,Veg_Parameters!$A$3:$N$65,9,FALSE))))</f>
        <v>0</v>
      </c>
      <c r="BP264" s="527" t="str">
        <f>IF(ISBLANK(N264),"0",VLOOKUP($N264,Veg_Parameters!$A$4:$U$65,21,))</f>
        <v>0</v>
      </c>
      <c r="BQ264" s="529">
        <f t="shared" si="400"/>
        <v>0</v>
      </c>
      <c r="BR264" s="529">
        <f t="shared" si="401"/>
        <v>0</v>
      </c>
      <c r="BS264" s="529">
        <f t="shared" si="380"/>
        <v>0</v>
      </c>
      <c r="BT264" s="529">
        <f t="shared" si="402"/>
        <v>0</v>
      </c>
      <c r="BU264" s="529">
        <f t="shared" si="403"/>
        <v>0</v>
      </c>
      <c r="BV264" s="529">
        <f t="shared" si="404"/>
        <v>0</v>
      </c>
      <c r="BW264" s="532" t="str">
        <f t="shared" si="381"/>
        <v/>
      </c>
      <c r="BX264" s="532" t="str">
        <f t="shared" si="382"/>
        <v/>
      </c>
      <c r="BY264" s="532" t="str">
        <f t="shared" si="383"/>
        <v/>
      </c>
      <c r="BZ264" s="532" t="str">
        <f t="shared" si="384"/>
        <v/>
      </c>
      <c r="CA264" s="532">
        <f t="shared" si="385"/>
        <v>0</v>
      </c>
      <c r="CB264" s="533"/>
      <c r="CC264" s="624">
        <f t="shared" si="386"/>
        <v>0</v>
      </c>
      <c r="CD264" s="534">
        <f t="shared" si="387"/>
        <v>0</v>
      </c>
      <c r="CE264" s="534">
        <f t="shared" si="388"/>
        <v>0</v>
      </c>
      <c r="CF264" s="534">
        <f t="shared" si="389"/>
        <v>0</v>
      </c>
      <c r="CG264" s="534"/>
      <c r="CH264" s="534"/>
      <c r="CI264" s="534">
        <f t="shared" si="405"/>
        <v>0</v>
      </c>
      <c r="CL264" s="534">
        <f>IF(ISNA(VLOOKUP(I264,Veg_Parameters!$A$3:$N$65,13,FALSE)),0,(VLOOKUP(I264,Veg_Parameters!$A$3:$N$65,13,FALSE)))</f>
        <v>0</v>
      </c>
      <c r="CM264" s="534">
        <f t="shared" si="406"/>
        <v>0</v>
      </c>
      <c r="CN264" s="534">
        <f>IF(ISNA(VLOOKUP(N264,Veg_Parameters!$A$3:$N$65,13,FALSE)),0,(VLOOKUP(N264,Veg_Parameters!$A$3:$N$65,13,FALSE)))</f>
        <v>0</v>
      </c>
      <c r="CO264" s="523">
        <f t="shared" si="407"/>
        <v>0</v>
      </c>
    </row>
    <row r="265" spans="1:93" x14ac:dyDescent="0.2">
      <c r="A265" s="227"/>
      <c r="B265" s="171" t="str">
        <f t="shared" si="408"/>
        <v/>
      </c>
      <c r="C265" s="230"/>
      <c r="D265" s="169"/>
      <c r="E265" s="165"/>
      <c r="F265" s="165"/>
      <c r="G265" s="165"/>
      <c r="H265" s="165"/>
      <c r="I265" s="168"/>
      <c r="J265" s="167"/>
      <c r="K265" s="168"/>
      <c r="L265" s="167"/>
      <c r="M265" s="167"/>
      <c r="N265" s="168"/>
      <c r="O265" s="168"/>
      <c r="P265" s="167"/>
      <c r="Q265" s="167"/>
      <c r="R265" s="167"/>
      <c r="S265" s="222" t="str">
        <f>IF(ISBLANK(A265),"",IF(ISNA(VLOOKUP(I265,Veg_Parameters!$A$3:$N$65,3,FALSE)),0,(VLOOKUP(I265,Veg_Parameters!$A$3:$N$65,3,FALSE))))</f>
        <v/>
      </c>
      <c r="T265" s="222" t="str">
        <f>IF(ISBLANK(N265),"",IF(ISNA(VLOOKUP(N265,Veg_Parameters!$A$3:$N$65,3,FALSE)),0,(VLOOKUP(N265,Veg_Parameters!$A$3:$N$65,3,FALSE))))</f>
        <v/>
      </c>
      <c r="U265" s="523">
        <f t="shared" si="390"/>
        <v>0</v>
      </c>
      <c r="V265" s="523">
        <f t="shared" si="366"/>
        <v>0</v>
      </c>
      <c r="W265" s="524">
        <f>IF(ISBLANK(A265),0,IF(ISNA(VLOOKUP($I265,Veg_Parameters!$A$3:$N$65,10,FALSE)),0,(VLOOKUP($I265,Veg_Parameters!$A$3:$N$65,10,FALSE))))</f>
        <v>0</v>
      </c>
      <c r="X265" s="524">
        <f>IF(ISBLANK(A265),0,IF(ISNA(VLOOKUP($I265,Veg_Parameters!$A$3:$N$65,11,FALSE)),0,(VLOOKUP($I265,Veg_Parameters!$A$3:$N$65,11,FALSE))))</f>
        <v>0</v>
      </c>
      <c r="Y265" s="524">
        <f>IF(ISBLANK(A265),0,IF(ISNA(VLOOKUP($I265,Veg_Parameters!$A$3:$N$65,12,FALSE)),0,(VLOOKUP($I265,Veg_Parameters!$A$3:$N$65,12,FALSE))))</f>
        <v>0</v>
      </c>
      <c r="Z265" s="525">
        <f t="shared" si="367"/>
        <v>0</v>
      </c>
      <c r="AA265" s="525">
        <f t="shared" si="368"/>
        <v>0</v>
      </c>
      <c r="AB265" s="525">
        <f t="shared" si="369"/>
        <v>0</v>
      </c>
      <c r="AC265" s="524">
        <f>IF(ISBLANK(N265),0,IF(ISNA(VLOOKUP($N265,Veg_Parameters!$A$3:$N$65,10,FALSE)),0,(VLOOKUP($N265,Veg_Parameters!$A$3:$N$65,10,FALSE))))</f>
        <v>0</v>
      </c>
      <c r="AD265" s="524">
        <f>IF(ISBLANK(N265),0,IF(ISNA(VLOOKUP($N265,Veg_Parameters!$A$3:$N$65,11,FALSE)),0,(VLOOKUP($N265,Veg_Parameters!$A$3:$N$65,11,FALSE))))</f>
        <v>0</v>
      </c>
      <c r="AE265" s="524">
        <f>IF(ISBLANK(N265), 0, IF(ISNA(VLOOKUP($N265,Veg_Parameters!$A$3:$N$65,12,FALSE)),0,(VLOOKUP($N265,Veg_Parameters!$A$3:$N$65,12,FALSE))))</f>
        <v>0</v>
      </c>
      <c r="AF265" s="523">
        <f t="shared" si="370"/>
        <v>0</v>
      </c>
      <c r="AG265" s="523">
        <f t="shared" si="371"/>
        <v>0</v>
      </c>
      <c r="AH265" s="523">
        <f t="shared" si="372"/>
        <v>0</v>
      </c>
      <c r="AI265" s="526"/>
      <c r="AJ265" s="527">
        <f>AB265*(IF(ISNA(VLOOKUP($I265,Veg_Parameters!$A$3:$N$65,5,FALSE)),0,(VLOOKUP($I265,Veg_Parameters!$A$3:$N$65,5,FALSE))))</f>
        <v>0</v>
      </c>
      <c r="AK265" s="527">
        <f>IF(ISNA(VLOOKUP($I265,Veg_Parameters!$A$3:$N$65,4,FALSE)),0,(VLOOKUP($I265,Veg_Parameters!$A$3:$N$65,4,FALSE)))</f>
        <v>0</v>
      </c>
      <c r="AL265" s="527">
        <f>AB265*(IF(ISNA(VLOOKUP($I265,Veg_Parameters!$A$3:$N$65,7,FALSE)),0, (VLOOKUP($I265,Veg_Parameters!$A$3:$N$65,7,FALSE))))</f>
        <v>0</v>
      </c>
      <c r="AM265" s="528">
        <f>IF(ISNA(VLOOKUP($I265,Veg_Parameters!$A$3:$N$65,6,FALSE)), 0, (VLOOKUP($I265,Veg_Parameters!$A$3:$N$65,6,FALSE)))</f>
        <v>0</v>
      </c>
      <c r="AN265" s="529">
        <f t="shared" si="373"/>
        <v>20</v>
      </c>
      <c r="AO265" s="529">
        <f t="shared" si="374"/>
        <v>0</v>
      </c>
      <c r="AP265" s="529">
        <f t="shared" si="375"/>
        <v>0</v>
      </c>
      <c r="AQ265" s="530">
        <f t="shared" si="391"/>
        <v>0</v>
      </c>
      <c r="AR265" s="527" t="s">
        <v>3</v>
      </c>
      <c r="AS265" s="527">
        <f>IF(ISNA(VLOOKUP($I265,Veg_Parameters!$A$3:$N$65,8,FALSE)), 0, (VLOOKUP($I265,Veg_Parameters!$A$3:$N$65,8,FALSE)))</f>
        <v>0</v>
      </c>
      <c r="AT265" s="527">
        <f>AB265*(IF(ISNA(VLOOKUP($I265,Veg_Parameters!$A$3:$N$65,9,FALSE)), 0, (VLOOKUP($I265,Veg_Parameters!$A$3:$N$65,9,FALSE))))</f>
        <v>0</v>
      </c>
      <c r="AU265" s="527">
        <f>IF(ISBLANK(A265),0,VLOOKUP($I265,Veg_Parameters!$A$4:$U$65,21,))</f>
        <v>0</v>
      </c>
      <c r="AV265" s="527">
        <f t="shared" si="392"/>
        <v>0</v>
      </c>
      <c r="AW265" s="529">
        <f t="shared" si="393"/>
        <v>0</v>
      </c>
      <c r="AX265" s="529">
        <f t="shared" si="394"/>
        <v>0</v>
      </c>
      <c r="AY265" s="529">
        <f t="shared" si="376"/>
        <v>0</v>
      </c>
      <c r="AZ265" s="529">
        <f t="shared" si="395"/>
        <v>0</v>
      </c>
      <c r="BA265" s="529">
        <f t="shared" si="396"/>
        <v>0</v>
      </c>
      <c r="BB265" s="529">
        <f t="shared" si="397"/>
        <v>0</v>
      </c>
      <c r="BC265" s="529">
        <f t="shared" si="377"/>
        <v>0</v>
      </c>
      <c r="BD265" s="531"/>
      <c r="BE265" s="527">
        <f>AH265*(IF(ISNA(VLOOKUP($N265,Veg_Parameters!$A$3:$N$65,5,FALSE)),0,(VLOOKUP($N265,Veg_Parameters!$A$3:$N$65,5,FALSE))))</f>
        <v>0</v>
      </c>
      <c r="BF265" s="527">
        <f>IF(ISNA(VLOOKUP($N265,Veg_Parameters!$A$3:$N$65,4,FALSE)),0,(VLOOKUP($N265,Veg_Parameters!$A$3:$N$65,4,FALSE)))</f>
        <v>0</v>
      </c>
      <c r="BG265" s="527">
        <f>AH265*(IF(ISNA(VLOOKUP($N265,Veg_Parameters!$A$3:$N$65,7,FALSE)),0, (VLOOKUP($N265,Veg_Parameters!$A$3:$N$65,7,FALSE))))</f>
        <v>0</v>
      </c>
      <c r="BH265" s="527">
        <f>IF(ISNA(VLOOKUP($N265,Veg_Parameters!$A$3:$N$65,6,FALSE)), 0, (VLOOKUP($N265,Veg_Parameters!$A$3:$N$65,6,FALSE)))</f>
        <v>0</v>
      </c>
      <c r="BI265" s="529">
        <f t="shared" si="378"/>
        <v>20</v>
      </c>
      <c r="BJ265" s="529">
        <f t="shared" si="398"/>
        <v>0</v>
      </c>
      <c r="BK265" s="529">
        <f t="shared" si="379"/>
        <v>0</v>
      </c>
      <c r="BL265" s="530">
        <f t="shared" si="399"/>
        <v>0</v>
      </c>
      <c r="BM265" s="527" t="s">
        <v>3</v>
      </c>
      <c r="BN265" s="527">
        <f>IF(ISNA(VLOOKUP(N265,Veg_Parameters!$A$3:$N$65,8,FALSE)), 0, (VLOOKUP($N265,Veg_Parameters!$A$3:$N$65,8,FALSE)))</f>
        <v>0</v>
      </c>
      <c r="BO265" s="527">
        <f>AH265*(IF(ISNA(VLOOKUP($N265,Veg_Parameters!$A$3:$N$65,9,FALSE)), 0, (VLOOKUP($N265,Veg_Parameters!$A$3:$N$65,9,FALSE))))</f>
        <v>0</v>
      </c>
      <c r="BP265" s="527" t="str">
        <f>IF(ISBLANK(N265),"0",VLOOKUP($N265,Veg_Parameters!$A$4:$U$65,21,))</f>
        <v>0</v>
      </c>
      <c r="BQ265" s="529">
        <f t="shared" si="400"/>
        <v>0</v>
      </c>
      <c r="BR265" s="529">
        <f t="shared" si="401"/>
        <v>0</v>
      </c>
      <c r="BS265" s="529">
        <f t="shared" si="380"/>
        <v>0</v>
      </c>
      <c r="BT265" s="529">
        <f t="shared" si="402"/>
        <v>0</v>
      </c>
      <c r="BU265" s="529">
        <f t="shared" si="403"/>
        <v>0</v>
      </c>
      <c r="BV265" s="529">
        <f t="shared" si="404"/>
        <v>0</v>
      </c>
      <c r="BW265" s="532" t="str">
        <f t="shared" si="381"/>
        <v/>
      </c>
      <c r="BX265" s="532" t="str">
        <f t="shared" si="382"/>
        <v/>
      </c>
      <c r="BY265" s="532" t="str">
        <f t="shared" si="383"/>
        <v/>
      </c>
      <c r="BZ265" s="532" t="str">
        <f t="shared" si="384"/>
        <v/>
      </c>
      <c r="CA265" s="532">
        <f t="shared" si="385"/>
        <v>0</v>
      </c>
      <c r="CB265" s="533"/>
      <c r="CC265" s="624">
        <f t="shared" si="386"/>
        <v>0</v>
      </c>
      <c r="CD265" s="534">
        <f t="shared" si="387"/>
        <v>0</v>
      </c>
      <c r="CE265" s="534">
        <f t="shared" si="388"/>
        <v>0</v>
      </c>
      <c r="CF265" s="534">
        <f t="shared" si="389"/>
        <v>0</v>
      </c>
      <c r="CG265" s="534"/>
      <c r="CH265" s="534"/>
      <c r="CI265" s="534">
        <f t="shared" si="405"/>
        <v>0</v>
      </c>
      <c r="CL265" s="534">
        <f>IF(ISNA(VLOOKUP(I265,Veg_Parameters!$A$3:$N$65,13,FALSE)),0,(VLOOKUP(I265,Veg_Parameters!$A$3:$N$65,13,FALSE)))</f>
        <v>0</v>
      </c>
      <c r="CM265" s="534">
        <f t="shared" si="406"/>
        <v>0</v>
      </c>
      <c r="CN265" s="534">
        <f>IF(ISNA(VLOOKUP(N265,Veg_Parameters!$A$3:$N$65,13,FALSE)),0,(VLOOKUP(N265,Veg_Parameters!$A$3:$N$65,13,FALSE)))</f>
        <v>0</v>
      </c>
      <c r="CO265" s="523">
        <f t="shared" si="407"/>
        <v>0</v>
      </c>
    </row>
    <row r="266" spans="1:93" x14ac:dyDescent="0.2">
      <c r="A266" s="227"/>
      <c r="B266" s="171" t="str">
        <f t="shared" si="408"/>
        <v/>
      </c>
      <c r="C266" s="230"/>
      <c r="D266" s="169"/>
      <c r="E266" s="165"/>
      <c r="F266" s="165"/>
      <c r="G266" s="165"/>
      <c r="H266" s="165"/>
      <c r="I266" s="168"/>
      <c r="J266" s="167"/>
      <c r="K266" s="168"/>
      <c r="L266" s="167"/>
      <c r="M266" s="167"/>
      <c r="N266" s="168"/>
      <c r="O266" s="168"/>
      <c r="P266" s="167"/>
      <c r="Q266" s="167"/>
      <c r="R266" s="167"/>
      <c r="S266" s="222" t="str">
        <f>IF(ISBLANK(A266),"",IF(ISNA(VLOOKUP(I266,Veg_Parameters!$A$3:$N$65,3,FALSE)),0,(VLOOKUP(I266,Veg_Parameters!$A$3:$N$65,3,FALSE))))</f>
        <v/>
      </c>
      <c r="T266" s="222" t="str">
        <f>IF(ISBLANK(N266),"",IF(ISNA(VLOOKUP(N266,Veg_Parameters!$A$3:$N$65,3,FALSE)),0,(VLOOKUP(N266,Veg_Parameters!$A$3:$N$65,3,FALSE))))</f>
        <v/>
      </c>
      <c r="U266" s="523">
        <f t="shared" si="390"/>
        <v>0</v>
      </c>
      <c r="V266" s="523">
        <f t="shared" si="366"/>
        <v>0</v>
      </c>
      <c r="W266" s="524">
        <f>IF(ISBLANK(A266),0,IF(ISNA(VLOOKUP($I266,Veg_Parameters!$A$3:$N$65,10,FALSE)),0,(VLOOKUP($I266,Veg_Parameters!$A$3:$N$65,10,FALSE))))</f>
        <v>0</v>
      </c>
      <c r="X266" s="524">
        <f>IF(ISBLANK(A266),0,IF(ISNA(VLOOKUP($I266,Veg_Parameters!$A$3:$N$65,11,FALSE)),0,(VLOOKUP($I266,Veg_Parameters!$A$3:$N$65,11,FALSE))))</f>
        <v>0</v>
      </c>
      <c r="Y266" s="524">
        <f>IF(ISBLANK(A266),0,IF(ISNA(VLOOKUP($I266,Veg_Parameters!$A$3:$N$65,12,FALSE)),0,(VLOOKUP($I266,Veg_Parameters!$A$3:$N$65,12,FALSE))))</f>
        <v>0</v>
      </c>
      <c r="Z266" s="525">
        <f t="shared" si="367"/>
        <v>0</v>
      </c>
      <c r="AA266" s="525">
        <f t="shared" si="368"/>
        <v>0</v>
      </c>
      <c r="AB266" s="525">
        <f t="shared" si="369"/>
        <v>0</v>
      </c>
      <c r="AC266" s="524">
        <f>IF(ISBLANK(N266),0,IF(ISNA(VLOOKUP($N266,Veg_Parameters!$A$3:$N$65,10,FALSE)),0,(VLOOKUP($N266,Veg_Parameters!$A$3:$N$65,10,FALSE))))</f>
        <v>0</v>
      </c>
      <c r="AD266" s="524">
        <f>IF(ISBLANK(N266),0,IF(ISNA(VLOOKUP($N266,Veg_Parameters!$A$3:$N$65,11,FALSE)),0,(VLOOKUP($N266,Veg_Parameters!$A$3:$N$65,11,FALSE))))</f>
        <v>0</v>
      </c>
      <c r="AE266" s="524">
        <f>IF(ISBLANK(N266), 0, IF(ISNA(VLOOKUP($N266,Veg_Parameters!$A$3:$N$65,12,FALSE)),0,(VLOOKUP($N266,Veg_Parameters!$A$3:$N$65,12,FALSE))))</f>
        <v>0</v>
      </c>
      <c r="AF266" s="523">
        <f t="shared" si="370"/>
        <v>0</v>
      </c>
      <c r="AG266" s="523">
        <f t="shared" si="371"/>
        <v>0</v>
      </c>
      <c r="AH266" s="523">
        <f t="shared" si="372"/>
        <v>0</v>
      </c>
      <c r="AI266" s="526"/>
      <c r="AJ266" s="527">
        <f>AB266*(IF(ISNA(VLOOKUP($I266,Veg_Parameters!$A$3:$N$65,5,FALSE)),0,(VLOOKUP($I266,Veg_Parameters!$A$3:$N$65,5,FALSE))))</f>
        <v>0</v>
      </c>
      <c r="AK266" s="527">
        <f>IF(ISNA(VLOOKUP($I266,Veg_Parameters!$A$3:$N$65,4,FALSE)),0,(VLOOKUP($I266,Veg_Parameters!$A$3:$N$65,4,FALSE)))</f>
        <v>0</v>
      </c>
      <c r="AL266" s="527">
        <f>AB266*(IF(ISNA(VLOOKUP($I266,Veg_Parameters!$A$3:$N$65,7,FALSE)),0, (VLOOKUP($I266,Veg_Parameters!$A$3:$N$65,7,FALSE))))</f>
        <v>0</v>
      </c>
      <c r="AM266" s="528">
        <f>IF(ISNA(VLOOKUP($I266,Veg_Parameters!$A$3:$N$65,6,FALSE)), 0, (VLOOKUP($I266,Veg_Parameters!$A$3:$N$65,6,FALSE)))</f>
        <v>0</v>
      </c>
      <c r="AN266" s="529">
        <f t="shared" si="373"/>
        <v>20</v>
      </c>
      <c r="AO266" s="529">
        <f t="shared" si="374"/>
        <v>0</v>
      </c>
      <c r="AP266" s="529">
        <f t="shared" si="375"/>
        <v>0</v>
      </c>
      <c r="AQ266" s="530">
        <f t="shared" si="391"/>
        <v>0</v>
      </c>
      <c r="AR266" s="527" t="s">
        <v>3</v>
      </c>
      <c r="AS266" s="527">
        <f>IF(ISNA(VLOOKUP($I266,Veg_Parameters!$A$3:$N$65,8,FALSE)), 0, (VLOOKUP($I266,Veg_Parameters!$A$3:$N$65,8,FALSE)))</f>
        <v>0</v>
      </c>
      <c r="AT266" s="527">
        <f>AB266*(IF(ISNA(VLOOKUP($I266,Veg_Parameters!$A$3:$N$65,9,FALSE)), 0, (VLOOKUP($I266,Veg_Parameters!$A$3:$N$65,9,FALSE))))</f>
        <v>0</v>
      </c>
      <c r="AU266" s="527">
        <f>IF(ISBLANK(A266),0,VLOOKUP($I266,Veg_Parameters!$A$4:$U$65,21,))</f>
        <v>0</v>
      </c>
      <c r="AV266" s="527">
        <f t="shared" si="392"/>
        <v>0</v>
      </c>
      <c r="AW266" s="529">
        <f t="shared" si="393"/>
        <v>0</v>
      </c>
      <c r="AX266" s="529">
        <f t="shared" si="394"/>
        <v>0</v>
      </c>
      <c r="AY266" s="529">
        <f t="shared" si="376"/>
        <v>0</v>
      </c>
      <c r="AZ266" s="529">
        <f t="shared" si="395"/>
        <v>0</v>
      </c>
      <c r="BA266" s="529">
        <f t="shared" si="396"/>
        <v>0</v>
      </c>
      <c r="BB266" s="529">
        <f t="shared" si="397"/>
        <v>0</v>
      </c>
      <c r="BC266" s="529">
        <f t="shared" si="377"/>
        <v>0</v>
      </c>
      <c r="BD266" s="531"/>
      <c r="BE266" s="527">
        <f>AH266*(IF(ISNA(VLOOKUP($N266,Veg_Parameters!$A$3:$N$65,5,FALSE)),0,(VLOOKUP($N266,Veg_Parameters!$A$3:$N$65,5,FALSE))))</f>
        <v>0</v>
      </c>
      <c r="BF266" s="527">
        <f>IF(ISNA(VLOOKUP($N266,Veg_Parameters!$A$3:$N$65,4,FALSE)),0,(VLOOKUP($N266,Veg_Parameters!$A$3:$N$65,4,FALSE)))</f>
        <v>0</v>
      </c>
      <c r="BG266" s="527">
        <f>AH266*(IF(ISNA(VLOOKUP($N266,Veg_Parameters!$A$3:$N$65,7,FALSE)),0, (VLOOKUP($N266,Veg_Parameters!$A$3:$N$65,7,FALSE))))</f>
        <v>0</v>
      </c>
      <c r="BH266" s="527">
        <f>IF(ISNA(VLOOKUP($N266,Veg_Parameters!$A$3:$N$65,6,FALSE)), 0, (VLOOKUP($N266,Veg_Parameters!$A$3:$N$65,6,FALSE)))</f>
        <v>0</v>
      </c>
      <c r="BI266" s="529">
        <f t="shared" si="378"/>
        <v>20</v>
      </c>
      <c r="BJ266" s="529">
        <f t="shared" si="398"/>
        <v>0</v>
      </c>
      <c r="BK266" s="529">
        <f t="shared" si="379"/>
        <v>0</v>
      </c>
      <c r="BL266" s="530">
        <f t="shared" si="399"/>
        <v>0</v>
      </c>
      <c r="BM266" s="527" t="s">
        <v>3</v>
      </c>
      <c r="BN266" s="527">
        <f>IF(ISNA(VLOOKUP(N266,Veg_Parameters!$A$3:$N$65,8,FALSE)), 0, (VLOOKUP($N266,Veg_Parameters!$A$3:$N$65,8,FALSE)))</f>
        <v>0</v>
      </c>
      <c r="BO266" s="527">
        <f>AH266*(IF(ISNA(VLOOKUP($N266,Veg_Parameters!$A$3:$N$65,9,FALSE)), 0, (VLOOKUP($N266,Veg_Parameters!$A$3:$N$65,9,FALSE))))</f>
        <v>0</v>
      </c>
      <c r="BP266" s="527" t="str">
        <f>IF(ISBLANK(N266),"0",VLOOKUP($N266,Veg_Parameters!$A$4:$U$65,21,))</f>
        <v>0</v>
      </c>
      <c r="BQ266" s="529">
        <f t="shared" si="400"/>
        <v>0</v>
      </c>
      <c r="BR266" s="529">
        <f t="shared" si="401"/>
        <v>0</v>
      </c>
      <c r="BS266" s="529">
        <f t="shared" si="380"/>
        <v>0</v>
      </c>
      <c r="BT266" s="529">
        <f t="shared" si="402"/>
        <v>0</v>
      </c>
      <c r="BU266" s="529">
        <f t="shared" si="403"/>
        <v>0</v>
      </c>
      <c r="BV266" s="529">
        <f t="shared" si="404"/>
        <v>0</v>
      </c>
      <c r="BW266" s="532" t="str">
        <f t="shared" si="381"/>
        <v/>
      </c>
      <c r="BX266" s="532" t="str">
        <f t="shared" si="382"/>
        <v/>
      </c>
      <c r="BY266" s="532" t="str">
        <f t="shared" si="383"/>
        <v/>
      </c>
      <c r="BZ266" s="532" t="str">
        <f t="shared" si="384"/>
        <v/>
      </c>
      <c r="CA266" s="532">
        <f t="shared" si="385"/>
        <v>0</v>
      </c>
      <c r="CB266" s="533"/>
      <c r="CC266" s="624">
        <f t="shared" si="386"/>
        <v>0</v>
      </c>
      <c r="CD266" s="534">
        <f t="shared" si="387"/>
        <v>0</v>
      </c>
      <c r="CE266" s="534">
        <f t="shared" si="388"/>
        <v>0</v>
      </c>
      <c r="CF266" s="534">
        <f t="shared" si="389"/>
        <v>0</v>
      </c>
      <c r="CG266" s="534"/>
      <c r="CH266" s="534"/>
      <c r="CI266" s="534">
        <f t="shared" si="405"/>
        <v>0</v>
      </c>
      <c r="CL266" s="534">
        <f>IF(ISNA(VLOOKUP(I266,Veg_Parameters!$A$3:$N$65,13,FALSE)),0,(VLOOKUP(I266,Veg_Parameters!$A$3:$N$65,13,FALSE)))</f>
        <v>0</v>
      </c>
      <c r="CM266" s="534">
        <f t="shared" si="406"/>
        <v>0</v>
      </c>
      <c r="CN266" s="534">
        <f>IF(ISNA(VLOOKUP(N266,Veg_Parameters!$A$3:$N$65,13,FALSE)),0,(VLOOKUP(N266,Veg_Parameters!$A$3:$N$65,13,FALSE)))</f>
        <v>0</v>
      </c>
      <c r="CO266" s="523">
        <f t="shared" si="407"/>
        <v>0</v>
      </c>
    </row>
    <row r="267" spans="1:93" x14ac:dyDescent="0.2">
      <c r="A267" s="227"/>
      <c r="B267" s="171" t="str">
        <f t="shared" si="408"/>
        <v/>
      </c>
      <c r="C267" s="230"/>
      <c r="D267" s="169"/>
      <c r="E267" s="165"/>
      <c r="F267" s="165"/>
      <c r="G267" s="165"/>
      <c r="H267" s="165"/>
      <c r="I267" s="168"/>
      <c r="J267" s="167"/>
      <c r="K267" s="168"/>
      <c r="L267" s="167"/>
      <c r="M267" s="167"/>
      <c r="N267" s="168"/>
      <c r="O267" s="168"/>
      <c r="P267" s="167"/>
      <c r="Q267" s="167"/>
      <c r="R267" s="167"/>
      <c r="S267" s="222" t="str">
        <f>IF(ISBLANK(A267),"",IF(ISNA(VLOOKUP(I267,Veg_Parameters!$A$3:$N$65,3,FALSE)),0,(VLOOKUP(I267,Veg_Parameters!$A$3:$N$65,3,FALSE))))</f>
        <v/>
      </c>
      <c r="T267" s="222" t="str">
        <f>IF(ISBLANK(N267),"",IF(ISNA(VLOOKUP(N267,Veg_Parameters!$A$3:$N$65,3,FALSE)),0,(VLOOKUP(N267,Veg_Parameters!$A$3:$N$65,3,FALSE))))</f>
        <v/>
      </c>
      <c r="U267" s="523">
        <f t="shared" si="390"/>
        <v>0</v>
      </c>
      <c r="V267" s="523">
        <f t="shared" si="366"/>
        <v>0</v>
      </c>
      <c r="W267" s="524">
        <f>IF(ISBLANK(A267),0,IF(ISNA(VLOOKUP($I267,Veg_Parameters!$A$3:$N$65,10,FALSE)),0,(VLOOKUP($I267,Veg_Parameters!$A$3:$N$65,10,FALSE))))</f>
        <v>0</v>
      </c>
      <c r="X267" s="524">
        <f>IF(ISBLANK(A267),0,IF(ISNA(VLOOKUP($I267,Veg_Parameters!$A$3:$N$65,11,FALSE)),0,(VLOOKUP($I267,Veg_Parameters!$A$3:$N$65,11,FALSE))))</f>
        <v>0</v>
      </c>
      <c r="Y267" s="524">
        <f>IF(ISBLANK(A267),0,IF(ISNA(VLOOKUP($I267,Veg_Parameters!$A$3:$N$65,12,FALSE)),0,(VLOOKUP($I267,Veg_Parameters!$A$3:$N$65,12,FALSE))))</f>
        <v>0</v>
      </c>
      <c r="Z267" s="525">
        <f t="shared" si="367"/>
        <v>0</v>
      </c>
      <c r="AA267" s="525">
        <f t="shared" si="368"/>
        <v>0</v>
      </c>
      <c r="AB267" s="525">
        <f t="shared" si="369"/>
        <v>0</v>
      </c>
      <c r="AC267" s="524">
        <f>IF(ISBLANK(N267),0,IF(ISNA(VLOOKUP($N267,Veg_Parameters!$A$3:$N$65,10,FALSE)),0,(VLOOKUP($N267,Veg_Parameters!$A$3:$N$65,10,FALSE))))</f>
        <v>0</v>
      </c>
      <c r="AD267" s="524">
        <f>IF(ISBLANK(N267),0,IF(ISNA(VLOOKUP($N267,Veg_Parameters!$A$3:$N$65,11,FALSE)),0,(VLOOKUP($N267,Veg_Parameters!$A$3:$N$65,11,FALSE))))</f>
        <v>0</v>
      </c>
      <c r="AE267" s="524">
        <f>IF(ISBLANK(N267), 0, IF(ISNA(VLOOKUP($N267,Veg_Parameters!$A$3:$N$65,12,FALSE)),0,(VLOOKUP($N267,Veg_Parameters!$A$3:$N$65,12,FALSE))))</f>
        <v>0</v>
      </c>
      <c r="AF267" s="523">
        <f t="shared" si="370"/>
        <v>0</v>
      </c>
      <c r="AG267" s="523">
        <f t="shared" si="371"/>
        <v>0</v>
      </c>
      <c r="AH267" s="523">
        <f t="shared" si="372"/>
        <v>0</v>
      </c>
      <c r="AI267" s="526"/>
      <c r="AJ267" s="527">
        <f>AB267*(IF(ISNA(VLOOKUP($I267,Veg_Parameters!$A$3:$N$65,5,FALSE)),0,(VLOOKUP($I267,Veg_Parameters!$A$3:$N$65,5,FALSE))))</f>
        <v>0</v>
      </c>
      <c r="AK267" s="527">
        <f>IF(ISNA(VLOOKUP($I267,Veg_Parameters!$A$3:$N$65,4,FALSE)),0,(VLOOKUP($I267,Veg_Parameters!$A$3:$N$65,4,FALSE)))</f>
        <v>0</v>
      </c>
      <c r="AL267" s="527">
        <f>AB267*(IF(ISNA(VLOOKUP($I267,Veg_Parameters!$A$3:$N$65,7,FALSE)),0, (VLOOKUP($I267,Veg_Parameters!$A$3:$N$65,7,FALSE))))</f>
        <v>0</v>
      </c>
      <c r="AM267" s="528">
        <f>IF(ISNA(VLOOKUP($I267,Veg_Parameters!$A$3:$N$65,6,FALSE)), 0, (VLOOKUP($I267,Veg_Parameters!$A$3:$N$65,6,FALSE)))</f>
        <v>0</v>
      </c>
      <c r="AN267" s="529">
        <f t="shared" si="373"/>
        <v>20</v>
      </c>
      <c r="AO267" s="529">
        <f t="shared" si="374"/>
        <v>0</v>
      </c>
      <c r="AP267" s="529">
        <f t="shared" si="375"/>
        <v>0</v>
      </c>
      <c r="AQ267" s="530">
        <f t="shared" si="391"/>
        <v>0</v>
      </c>
      <c r="AR267" s="527" t="s">
        <v>3</v>
      </c>
      <c r="AS267" s="527">
        <f>IF(ISNA(VLOOKUP($I267,Veg_Parameters!$A$3:$N$65,8,FALSE)), 0, (VLOOKUP($I267,Veg_Parameters!$A$3:$N$65,8,FALSE)))</f>
        <v>0</v>
      </c>
      <c r="AT267" s="527">
        <f>AB267*(IF(ISNA(VLOOKUP($I267,Veg_Parameters!$A$3:$N$65,9,FALSE)), 0, (VLOOKUP($I267,Veg_Parameters!$A$3:$N$65,9,FALSE))))</f>
        <v>0</v>
      </c>
      <c r="AU267" s="527">
        <f>IF(ISBLANK(A267),0,VLOOKUP($I267,Veg_Parameters!$A$4:$U$65,21,))</f>
        <v>0</v>
      </c>
      <c r="AV267" s="527">
        <f t="shared" si="392"/>
        <v>0</v>
      </c>
      <c r="AW267" s="529">
        <f t="shared" si="393"/>
        <v>0</v>
      </c>
      <c r="AX267" s="529">
        <f t="shared" si="394"/>
        <v>0</v>
      </c>
      <c r="AY267" s="529">
        <f t="shared" si="376"/>
        <v>0</v>
      </c>
      <c r="AZ267" s="529">
        <f t="shared" si="395"/>
        <v>0</v>
      </c>
      <c r="BA267" s="529">
        <f t="shared" si="396"/>
        <v>0</v>
      </c>
      <c r="BB267" s="529">
        <f t="shared" si="397"/>
        <v>0</v>
      </c>
      <c r="BC267" s="529">
        <f t="shared" si="377"/>
        <v>0</v>
      </c>
      <c r="BD267" s="531"/>
      <c r="BE267" s="527">
        <f>AH267*(IF(ISNA(VLOOKUP($N267,Veg_Parameters!$A$3:$N$65,5,FALSE)),0,(VLOOKUP($N267,Veg_Parameters!$A$3:$N$65,5,FALSE))))</f>
        <v>0</v>
      </c>
      <c r="BF267" s="527">
        <f>IF(ISNA(VLOOKUP($N267,Veg_Parameters!$A$3:$N$65,4,FALSE)),0,(VLOOKUP($N267,Veg_Parameters!$A$3:$N$65,4,FALSE)))</f>
        <v>0</v>
      </c>
      <c r="BG267" s="527">
        <f>AH267*(IF(ISNA(VLOOKUP($N267,Veg_Parameters!$A$3:$N$65,7,FALSE)),0, (VLOOKUP($N267,Veg_Parameters!$A$3:$N$65,7,FALSE))))</f>
        <v>0</v>
      </c>
      <c r="BH267" s="527">
        <f>IF(ISNA(VLOOKUP($N267,Veg_Parameters!$A$3:$N$65,6,FALSE)), 0, (VLOOKUP($N267,Veg_Parameters!$A$3:$N$65,6,FALSE)))</f>
        <v>0</v>
      </c>
      <c r="BI267" s="529">
        <f t="shared" si="378"/>
        <v>20</v>
      </c>
      <c r="BJ267" s="529">
        <f t="shared" si="398"/>
        <v>0</v>
      </c>
      <c r="BK267" s="529">
        <f t="shared" si="379"/>
        <v>0</v>
      </c>
      <c r="BL267" s="530">
        <f t="shared" si="399"/>
        <v>0</v>
      </c>
      <c r="BM267" s="527" t="s">
        <v>3</v>
      </c>
      <c r="BN267" s="527">
        <f>IF(ISNA(VLOOKUP(N267,Veg_Parameters!$A$3:$N$65,8,FALSE)), 0, (VLOOKUP($N267,Veg_Parameters!$A$3:$N$65,8,FALSE)))</f>
        <v>0</v>
      </c>
      <c r="BO267" s="527">
        <f>AH267*(IF(ISNA(VLOOKUP($N267,Veg_Parameters!$A$3:$N$65,9,FALSE)), 0, (VLOOKUP($N267,Veg_Parameters!$A$3:$N$65,9,FALSE))))</f>
        <v>0</v>
      </c>
      <c r="BP267" s="527" t="str">
        <f>IF(ISBLANK(N267),"0",VLOOKUP($N267,Veg_Parameters!$A$4:$U$65,21,))</f>
        <v>0</v>
      </c>
      <c r="BQ267" s="529">
        <f t="shared" si="400"/>
        <v>0</v>
      </c>
      <c r="BR267" s="529">
        <f t="shared" si="401"/>
        <v>0</v>
      </c>
      <c r="BS267" s="529">
        <f t="shared" si="380"/>
        <v>0</v>
      </c>
      <c r="BT267" s="529">
        <f t="shared" si="402"/>
        <v>0</v>
      </c>
      <c r="BU267" s="529">
        <f t="shared" si="403"/>
        <v>0</v>
      </c>
      <c r="BV267" s="529">
        <f t="shared" si="404"/>
        <v>0</v>
      </c>
      <c r="BW267" s="532" t="str">
        <f t="shared" si="381"/>
        <v/>
      </c>
      <c r="BX267" s="532" t="str">
        <f t="shared" si="382"/>
        <v/>
      </c>
      <c r="BY267" s="532" t="str">
        <f t="shared" si="383"/>
        <v/>
      </c>
      <c r="BZ267" s="532" t="str">
        <f t="shared" si="384"/>
        <v/>
      </c>
      <c r="CA267" s="532">
        <f t="shared" si="385"/>
        <v>0</v>
      </c>
      <c r="CB267" s="533"/>
      <c r="CC267" s="624">
        <f t="shared" si="386"/>
        <v>0</v>
      </c>
      <c r="CD267" s="534">
        <f t="shared" si="387"/>
        <v>0</v>
      </c>
      <c r="CE267" s="534">
        <f t="shared" si="388"/>
        <v>0</v>
      </c>
      <c r="CF267" s="534">
        <f t="shared" si="389"/>
        <v>0</v>
      </c>
      <c r="CG267" s="534"/>
      <c r="CH267" s="534"/>
      <c r="CI267" s="534">
        <f t="shared" si="405"/>
        <v>0</v>
      </c>
      <c r="CL267" s="534">
        <f>IF(ISNA(VLOOKUP(I267,Veg_Parameters!$A$3:$N$65,13,FALSE)),0,(VLOOKUP(I267,Veg_Parameters!$A$3:$N$65,13,FALSE)))</f>
        <v>0</v>
      </c>
      <c r="CM267" s="534">
        <f t="shared" si="406"/>
        <v>0</v>
      </c>
      <c r="CN267" s="534">
        <f>IF(ISNA(VLOOKUP(N267,Veg_Parameters!$A$3:$N$65,13,FALSE)),0,(VLOOKUP(N267,Veg_Parameters!$A$3:$N$65,13,FALSE)))</f>
        <v>0</v>
      </c>
      <c r="CO267" s="523">
        <f t="shared" si="407"/>
        <v>0</v>
      </c>
    </row>
    <row r="268" spans="1:93" x14ac:dyDescent="0.2">
      <c r="A268" s="227"/>
      <c r="B268" s="171" t="str">
        <f t="shared" si="408"/>
        <v/>
      </c>
      <c r="C268" s="230"/>
      <c r="D268" s="169"/>
      <c r="E268" s="165"/>
      <c r="F268" s="165"/>
      <c r="G268" s="165"/>
      <c r="H268" s="165"/>
      <c r="I268" s="168"/>
      <c r="J268" s="167"/>
      <c r="K268" s="168"/>
      <c r="L268" s="167"/>
      <c r="M268" s="167"/>
      <c r="N268" s="168"/>
      <c r="O268" s="168"/>
      <c r="P268" s="167"/>
      <c r="Q268" s="167"/>
      <c r="R268" s="167"/>
      <c r="S268" s="222" t="str">
        <f>IF(ISBLANK(A268),"",IF(ISNA(VLOOKUP(I268,Veg_Parameters!$A$3:$N$65,3,FALSE)),0,(VLOOKUP(I268,Veg_Parameters!$A$3:$N$65,3,FALSE))))</f>
        <v/>
      </c>
      <c r="T268" s="222" t="str">
        <f>IF(ISBLANK(N268),"",IF(ISNA(VLOOKUP(N268,Veg_Parameters!$A$3:$N$65,3,FALSE)),0,(VLOOKUP(N268,Veg_Parameters!$A$3:$N$65,3,FALSE))))</f>
        <v/>
      </c>
      <c r="U268" s="523">
        <f t="shared" si="390"/>
        <v>0</v>
      </c>
      <c r="V268" s="523">
        <f t="shared" si="366"/>
        <v>0</v>
      </c>
      <c r="W268" s="524">
        <f>IF(ISBLANK(A268),0,IF(ISNA(VLOOKUP($I268,Veg_Parameters!$A$3:$N$65,10,FALSE)),0,(VLOOKUP($I268,Veg_Parameters!$A$3:$N$65,10,FALSE))))</f>
        <v>0</v>
      </c>
      <c r="X268" s="524">
        <f>IF(ISBLANK(A268),0,IF(ISNA(VLOOKUP($I268,Veg_Parameters!$A$3:$N$65,11,FALSE)),0,(VLOOKUP($I268,Veg_Parameters!$A$3:$N$65,11,FALSE))))</f>
        <v>0</v>
      </c>
      <c r="Y268" s="524">
        <f>IF(ISBLANK(A268),0,IF(ISNA(VLOOKUP($I268,Veg_Parameters!$A$3:$N$65,12,FALSE)),0,(VLOOKUP($I268,Veg_Parameters!$A$3:$N$65,12,FALSE))))</f>
        <v>0</v>
      </c>
      <c r="Z268" s="525">
        <f t="shared" si="367"/>
        <v>0</v>
      </c>
      <c r="AA268" s="525">
        <f t="shared" si="368"/>
        <v>0</v>
      </c>
      <c r="AB268" s="525">
        <f t="shared" si="369"/>
        <v>0</v>
      </c>
      <c r="AC268" s="524">
        <f>IF(ISBLANK(N268),0,IF(ISNA(VLOOKUP($N268,Veg_Parameters!$A$3:$N$65,10,FALSE)),0,(VLOOKUP($N268,Veg_Parameters!$A$3:$N$65,10,FALSE))))</f>
        <v>0</v>
      </c>
      <c r="AD268" s="524">
        <f>IF(ISBLANK(N268),0,IF(ISNA(VLOOKUP($N268,Veg_Parameters!$A$3:$N$65,11,FALSE)),0,(VLOOKUP($N268,Veg_Parameters!$A$3:$N$65,11,FALSE))))</f>
        <v>0</v>
      </c>
      <c r="AE268" s="524">
        <f>IF(ISBLANK(N268), 0, IF(ISNA(VLOOKUP($N268,Veg_Parameters!$A$3:$N$65,12,FALSE)),0,(VLOOKUP($N268,Veg_Parameters!$A$3:$N$65,12,FALSE))))</f>
        <v>0</v>
      </c>
      <c r="AF268" s="523">
        <f t="shared" si="370"/>
        <v>0</v>
      </c>
      <c r="AG268" s="523">
        <f t="shared" si="371"/>
        <v>0</v>
      </c>
      <c r="AH268" s="523">
        <f t="shared" si="372"/>
        <v>0</v>
      </c>
      <c r="AI268" s="526"/>
      <c r="AJ268" s="527">
        <f>AB268*(IF(ISNA(VLOOKUP($I268,Veg_Parameters!$A$3:$N$65,5,FALSE)),0,(VLOOKUP($I268,Veg_Parameters!$A$3:$N$65,5,FALSE))))</f>
        <v>0</v>
      </c>
      <c r="AK268" s="527">
        <f>IF(ISNA(VLOOKUP($I268,Veg_Parameters!$A$3:$N$65,4,FALSE)),0,(VLOOKUP($I268,Veg_Parameters!$A$3:$N$65,4,FALSE)))</f>
        <v>0</v>
      </c>
      <c r="AL268" s="527">
        <f>AB268*(IF(ISNA(VLOOKUP($I268,Veg_Parameters!$A$3:$N$65,7,FALSE)),0, (VLOOKUP($I268,Veg_Parameters!$A$3:$N$65,7,FALSE))))</f>
        <v>0</v>
      </c>
      <c r="AM268" s="528">
        <f>IF(ISNA(VLOOKUP($I268,Veg_Parameters!$A$3:$N$65,6,FALSE)), 0, (VLOOKUP($I268,Veg_Parameters!$A$3:$N$65,6,FALSE)))</f>
        <v>0</v>
      </c>
      <c r="AN268" s="529">
        <f t="shared" si="373"/>
        <v>20</v>
      </c>
      <c r="AO268" s="529">
        <f t="shared" si="374"/>
        <v>0</v>
      </c>
      <c r="AP268" s="529">
        <f t="shared" si="375"/>
        <v>0</v>
      </c>
      <c r="AQ268" s="530">
        <f t="shared" si="391"/>
        <v>0</v>
      </c>
      <c r="AR268" s="527" t="s">
        <v>3</v>
      </c>
      <c r="AS268" s="527">
        <f>IF(ISNA(VLOOKUP($I268,Veg_Parameters!$A$3:$N$65,8,FALSE)), 0, (VLOOKUP($I268,Veg_Parameters!$A$3:$N$65,8,FALSE)))</f>
        <v>0</v>
      </c>
      <c r="AT268" s="527">
        <f>AB268*(IF(ISNA(VLOOKUP($I268,Veg_Parameters!$A$3:$N$65,9,FALSE)), 0, (VLOOKUP($I268,Veg_Parameters!$A$3:$N$65,9,FALSE))))</f>
        <v>0</v>
      </c>
      <c r="AU268" s="527">
        <f>IF(ISBLANK(A268),0,VLOOKUP($I268,Veg_Parameters!$A$4:$U$65,21,))</f>
        <v>0</v>
      </c>
      <c r="AV268" s="527">
        <f t="shared" si="392"/>
        <v>0</v>
      </c>
      <c r="AW268" s="529">
        <f t="shared" si="393"/>
        <v>0</v>
      </c>
      <c r="AX268" s="529">
        <f t="shared" si="394"/>
        <v>0</v>
      </c>
      <c r="AY268" s="529">
        <f t="shared" si="376"/>
        <v>0</v>
      </c>
      <c r="AZ268" s="529">
        <f t="shared" si="395"/>
        <v>0</v>
      </c>
      <c r="BA268" s="529">
        <f t="shared" si="396"/>
        <v>0</v>
      </c>
      <c r="BB268" s="529">
        <f t="shared" si="397"/>
        <v>0</v>
      </c>
      <c r="BC268" s="529">
        <f t="shared" si="377"/>
        <v>0</v>
      </c>
      <c r="BD268" s="531"/>
      <c r="BE268" s="527">
        <f>AH268*(IF(ISNA(VLOOKUP($N268,Veg_Parameters!$A$3:$N$65,5,FALSE)),0,(VLOOKUP($N268,Veg_Parameters!$A$3:$N$65,5,FALSE))))</f>
        <v>0</v>
      </c>
      <c r="BF268" s="527">
        <f>IF(ISNA(VLOOKUP($N268,Veg_Parameters!$A$3:$N$65,4,FALSE)),0,(VLOOKUP($N268,Veg_Parameters!$A$3:$N$65,4,FALSE)))</f>
        <v>0</v>
      </c>
      <c r="BG268" s="527">
        <f>AH268*(IF(ISNA(VLOOKUP($N268,Veg_Parameters!$A$3:$N$65,7,FALSE)),0, (VLOOKUP($N268,Veg_Parameters!$A$3:$N$65,7,FALSE))))</f>
        <v>0</v>
      </c>
      <c r="BH268" s="527">
        <f>IF(ISNA(VLOOKUP($N268,Veg_Parameters!$A$3:$N$65,6,FALSE)), 0, (VLOOKUP($N268,Veg_Parameters!$A$3:$N$65,6,FALSE)))</f>
        <v>0</v>
      </c>
      <c r="BI268" s="529">
        <f t="shared" si="378"/>
        <v>20</v>
      </c>
      <c r="BJ268" s="529">
        <f t="shared" si="398"/>
        <v>0</v>
      </c>
      <c r="BK268" s="529">
        <f t="shared" si="379"/>
        <v>0</v>
      </c>
      <c r="BL268" s="530">
        <f t="shared" si="399"/>
        <v>0</v>
      </c>
      <c r="BM268" s="527" t="s">
        <v>3</v>
      </c>
      <c r="BN268" s="527">
        <f>IF(ISNA(VLOOKUP(N268,Veg_Parameters!$A$3:$N$65,8,FALSE)), 0, (VLOOKUP($N268,Veg_Parameters!$A$3:$N$65,8,FALSE)))</f>
        <v>0</v>
      </c>
      <c r="BO268" s="527">
        <f>AH268*(IF(ISNA(VLOOKUP($N268,Veg_Parameters!$A$3:$N$65,9,FALSE)), 0, (VLOOKUP($N268,Veg_Parameters!$A$3:$N$65,9,FALSE))))</f>
        <v>0</v>
      </c>
      <c r="BP268" s="527" t="str">
        <f>IF(ISBLANK(N268),"0",VLOOKUP($N268,Veg_Parameters!$A$4:$U$65,21,))</f>
        <v>0</v>
      </c>
      <c r="BQ268" s="529">
        <f t="shared" si="400"/>
        <v>0</v>
      </c>
      <c r="BR268" s="529">
        <f t="shared" si="401"/>
        <v>0</v>
      </c>
      <c r="BS268" s="529">
        <f t="shared" si="380"/>
        <v>0</v>
      </c>
      <c r="BT268" s="529">
        <f t="shared" si="402"/>
        <v>0</v>
      </c>
      <c r="BU268" s="529">
        <f t="shared" si="403"/>
        <v>0</v>
      </c>
      <c r="BV268" s="529">
        <f t="shared" si="404"/>
        <v>0</v>
      </c>
      <c r="BW268" s="532" t="str">
        <f t="shared" si="381"/>
        <v/>
      </c>
      <c r="BX268" s="532" t="str">
        <f t="shared" si="382"/>
        <v/>
      </c>
      <c r="BY268" s="532" t="str">
        <f t="shared" si="383"/>
        <v/>
      </c>
      <c r="BZ268" s="532" t="str">
        <f t="shared" si="384"/>
        <v/>
      </c>
      <c r="CA268" s="532">
        <f t="shared" si="385"/>
        <v>0</v>
      </c>
      <c r="CB268" s="533"/>
      <c r="CC268" s="624">
        <f t="shared" si="386"/>
        <v>0</v>
      </c>
      <c r="CD268" s="534">
        <f t="shared" si="387"/>
        <v>0</v>
      </c>
      <c r="CE268" s="534">
        <f t="shared" si="388"/>
        <v>0</v>
      </c>
      <c r="CF268" s="534">
        <f t="shared" si="389"/>
        <v>0</v>
      </c>
      <c r="CG268" s="534"/>
      <c r="CH268" s="534"/>
      <c r="CI268" s="534">
        <f t="shared" si="405"/>
        <v>0</v>
      </c>
      <c r="CL268" s="534">
        <f>IF(ISNA(VLOOKUP(I268,Veg_Parameters!$A$3:$N$65,13,FALSE)),0,(VLOOKUP(I268,Veg_Parameters!$A$3:$N$65,13,FALSE)))</f>
        <v>0</v>
      </c>
      <c r="CM268" s="534">
        <f t="shared" si="406"/>
        <v>0</v>
      </c>
      <c r="CN268" s="534">
        <f>IF(ISNA(VLOOKUP(N268,Veg_Parameters!$A$3:$N$65,13,FALSE)),0,(VLOOKUP(N268,Veg_Parameters!$A$3:$N$65,13,FALSE)))</f>
        <v>0</v>
      </c>
      <c r="CO268" s="523">
        <f t="shared" si="407"/>
        <v>0</v>
      </c>
    </row>
    <row r="269" spans="1:93" x14ac:dyDescent="0.2">
      <c r="A269" s="227"/>
      <c r="B269" s="171" t="str">
        <f t="shared" si="408"/>
        <v/>
      </c>
      <c r="C269" s="230"/>
      <c r="D269" s="169"/>
      <c r="E269" s="165"/>
      <c r="F269" s="165"/>
      <c r="G269" s="165"/>
      <c r="H269" s="165"/>
      <c r="I269" s="168"/>
      <c r="J269" s="167"/>
      <c r="K269" s="168"/>
      <c r="L269" s="167"/>
      <c r="M269" s="167"/>
      <c r="N269" s="168"/>
      <c r="O269" s="168"/>
      <c r="P269" s="167"/>
      <c r="Q269" s="167"/>
      <c r="R269" s="167"/>
      <c r="S269" s="222" t="str">
        <f>IF(ISBLANK(A269),"",IF(ISNA(VLOOKUP(I269,Veg_Parameters!$A$3:$N$65,3,FALSE)),0,(VLOOKUP(I269,Veg_Parameters!$A$3:$N$65,3,FALSE))))</f>
        <v/>
      </c>
      <c r="T269" s="222" t="str">
        <f>IF(ISBLANK(N269),"",IF(ISNA(VLOOKUP(N269,Veg_Parameters!$A$3:$N$65,3,FALSE)),0,(VLOOKUP(N269,Veg_Parameters!$A$3:$N$65,3,FALSE))))</f>
        <v/>
      </c>
      <c r="U269" s="523">
        <f t="shared" si="390"/>
        <v>0</v>
      </c>
      <c r="V269" s="523">
        <f t="shared" si="366"/>
        <v>0</v>
      </c>
      <c r="W269" s="524">
        <f>IF(ISBLANK(A269),0,IF(ISNA(VLOOKUP($I269,Veg_Parameters!$A$3:$N$65,10,FALSE)),0,(VLOOKUP($I269,Veg_Parameters!$A$3:$N$65,10,FALSE))))</f>
        <v>0</v>
      </c>
      <c r="X269" s="524">
        <f>IF(ISBLANK(A269),0,IF(ISNA(VLOOKUP($I269,Veg_Parameters!$A$3:$N$65,11,FALSE)),0,(VLOOKUP($I269,Veg_Parameters!$A$3:$N$65,11,FALSE))))</f>
        <v>0</v>
      </c>
      <c r="Y269" s="524">
        <f>IF(ISBLANK(A269),0,IF(ISNA(VLOOKUP($I269,Veg_Parameters!$A$3:$N$65,12,FALSE)),0,(VLOOKUP($I269,Veg_Parameters!$A$3:$N$65,12,FALSE))))</f>
        <v>0</v>
      </c>
      <c r="Z269" s="525">
        <f t="shared" si="367"/>
        <v>0</v>
      </c>
      <c r="AA269" s="525">
        <f t="shared" si="368"/>
        <v>0</v>
      </c>
      <c r="AB269" s="525">
        <f t="shared" si="369"/>
        <v>0</v>
      </c>
      <c r="AC269" s="524">
        <f>IF(ISBLANK(N269),0,IF(ISNA(VLOOKUP($N269,Veg_Parameters!$A$3:$N$65,10,FALSE)),0,(VLOOKUP($N269,Veg_Parameters!$A$3:$N$65,10,FALSE))))</f>
        <v>0</v>
      </c>
      <c r="AD269" s="524">
        <f>IF(ISBLANK(N269),0,IF(ISNA(VLOOKUP($N269,Veg_Parameters!$A$3:$N$65,11,FALSE)),0,(VLOOKUP($N269,Veg_Parameters!$A$3:$N$65,11,FALSE))))</f>
        <v>0</v>
      </c>
      <c r="AE269" s="524">
        <f>IF(ISBLANK(N269), 0, IF(ISNA(VLOOKUP($N269,Veg_Parameters!$A$3:$N$65,12,FALSE)),0,(VLOOKUP($N269,Veg_Parameters!$A$3:$N$65,12,FALSE))))</f>
        <v>0</v>
      </c>
      <c r="AF269" s="523">
        <f t="shared" si="370"/>
        <v>0</v>
      </c>
      <c r="AG269" s="523">
        <f t="shared" si="371"/>
        <v>0</v>
      </c>
      <c r="AH269" s="523">
        <f t="shared" si="372"/>
        <v>0</v>
      </c>
      <c r="AI269" s="526"/>
      <c r="AJ269" s="527">
        <f>AB269*(IF(ISNA(VLOOKUP($I269,Veg_Parameters!$A$3:$N$65,5,FALSE)),0,(VLOOKUP($I269,Veg_Parameters!$A$3:$N$65,5,FALSE))))</f>
        <v>0</v>
      </c>
      <c r="AK269" s="527">
        <f>IF(ISNA(VLOOKUP($I269,Veg_Parameters!$A$3:$N$65,4,FALSE)),0,(VLOOKUP($I269,Veg_Parameters!$A$3:$N$65,4,FALSE)))</f>
        <v>0</v>
      </c>
      <c r="AL269" s="527">
        <f>AB269*(IF(ISNA(VLOOKUP($I269,Veg_Parameters!$A$3:$N$65,7,FALSE)),0, (VLOOKUP($I269,Veg_Parameters!$A$3:$N$65,7,FALSE))))</f>
        <v>0</v>
      </c>
      <c r="AM269" s="528">
        <f>IF(ISNA(VLOOKUP($I269,Veg_Parameters!$A$3:$N$65,6,FALSE)), 0, (VLOOKUP($I269,Veg_Parameters!$A$3:$N$65,6,FALSE)))</f>
        <v>0</v>
      </c>
      <c r="AN269" s="529">
        <f t="shared" si="373"/>
        <v>20</v>
      </c>
      <c r="AO269" s="529">
        <f t="shared" si="374"/>
        <v>0</v>
      </c>
      <c r="AP269" s="529">
        <f t="shared" si="375"/>
        <v>0</v>
      </c>
      <c r="AQ269" s="530">
        <f t="shared" si="391"/>
        <v>0</v>
      </c>
      <c r="AR269" s="527" t="s">
        <v>3</v>
      </c>
      <c r="AS269" s="527">
        <f>IF(ISNA(VLOOKUP($I269,Veg_Parameters!$A$3:$N$65,8,FALSE)), 0, (VLOOKUP($I269,Veg_Parameters!$A$3:$N$65,8,FALSE)))</f>
        <v>0</v>
      </c>
      <c r="AT269" s="527">
        <f>AB269*(IF(ISNA(VLOOKUP($I269,Veg_Parameters!$A$3:$N$65,9,FALSE)), 0, (VLOOKUP($I269,Veg_Parameters!$A$3:$N$65,9,FALSE))))</f>
        <v>0</v>
      </c>
      <c r="AU269" s="527">
        <f>IF(ISBLANK(A269),0,VLOOKUP($I269,Veg_Parameters!$A$4:$U$65,21,))</f>
        <v>0</v>
      </c>
      <c r="AV269" s="527">
        <f t="shared" si="392"/>
        <v>0</v>
      </c>
      <c r="AW269" s="529">
        <f t="shared" si="393"/>
        <v>0</v>
      </c>
      <c r="AX269" s="529">
        <f t="shared" si="394"/>
        <v>0</v>
      </c>
      <c r="AY269" s="529">
        <f t="shared" si="376"/>
        <v>0</v>
      </c>
      <c r="AZ269" s="529">
        <f t="shared" si="395"/>
        <v>0</v>
      </c>
      <c r="BA269" s="529">
        <f t="shared" si="396"/>
        <v>0</v>
      </c>
      <c r="BB269" s="529">
        <f t="shared" si="397"/>
        <v>0</v>
      </c>
      <c r="BC269" s="529">
        <f t="shared" si="377"/>
        <v>0</v>
      </c>
      <c r="BD269" s="531"/>
      <c r="BE269" s="527">
        <f>AH269*(IF(ISNA(VLOOKUP($N269,Veg_Parameters!$A$3:$N$65,5,FALSE)),0,(VLOOKUP($N269,Veg_Parameters!$A$3:$N$65,5,FALSE))))</f>
        <v>0</v>
      </c>
      <c r="BF269" s="527">
        <f>IF(ISNA(VLOOKUP($N269,Veg_Parameters!$A$3:$N$65,4,FALSE)),0,(VLOOKUP($N269,Veg_Parameters!$A$3:$N$65,4,FALSE)))</f>
        <v>0</v>
      </c>
      <c r="BG269" s="527">
        <f>AH269*(IF(ISNA(VLOOKUP($N269,Veg_Parameters!$A$3:$N$65,7,FALSE)),0, (VLOOKUP($N269,Veg_Parameters!$A$3:$N$65,7,FALSE))))</f>
        <v>0</v>
      </c>
      <c r="BH269" s="527">
        <f>IF(ISNA(VLOOKUP($N269,Veg_Parameters!$A$3:$N$65,6,FALSE)), 0, (VLOOKUP($N269,Veg_Parameters!$A$3:$N$65,6,FALSE)))</f>
        <v>0</v>
      </c>
      <c r="BI269" s="529">
        <f t="shared" si="378"/>
        <v>20</v>
      </c>
      <c r="BJ269" s="529">
        <f t="shared" si="398"/>
        <v>0</v>
      </c>
      <c r="BK269" s="529">
        <f t="shared" si="379"/>
        <v>0</v>
      </c>
      <c r="BL269" s="530">
        <f t="shared" si="399"/>
        <v>0</v>
      </c>
      <c r="BM269" s="527" t="s">
        <v>3</v>
      </c>
      <c r="BN269" s="527">
        <f>IF(ISNA(VLOOKUP(N269,Veg_Parameters!$A$3:$N$65,8,FALSE)), 0, (VLOOKUP($N269,Veg_Parameters!$A$3:$N$65,8,FALSE)))</f>
        <v>0</v>
      </c>
      <c r="BO269" s="527">
        <f>AH269*(IF(ISNA(VLOOKUP($N269,Veg_Parameters!$A$3:$N$65,9,FALSE)), 0, (VLOOKUP($N269,Veg_Parameters!$A$3:$N$65,9,FALSE))))</f>
        <v>0</v>
      </c>
      <c r="BP269" s="527" t="str">
        <f>IF(ISBLANK(N269),"0",VLOOKUP($N269,Veg_Parameters!$A$4:$U$65,21,))</f>
        <v>0</v>
      </c>
      <c r="BQ269" s="529">
        <f t="shared" si="400"/>
        <v>0</v>
      </c>
      <c r="BR269" s="529">
        <f t="shared" si="401"/>
        <v>0</v>
      </c>
      <c r="BS269" s="529">
        <f t="shared" si="380"/>
        <v>0</v>
      </c>
      <c r="BT269" s="529">
        <f t="shared" si="402"/>
        <v>0</v>
      </c>
      <c r="BU269" s="529">
        <f t="shared" si="403"/>
        <v>0</v>
      </c>
      <c r="BV269" s="529">
        <f t="shared" si="404"/>
        <v>0</v>
      </c>
      <c r="BW269" s="532" t="str">
        <f t="shared" si="381"/>
        <v/>
      </c>
      <c r="BX269" s="532" t="str">
        <f t="shared" si="382"/>
        <v/>
      </c>
      <c r="BY269" s="532" t="str">
        <f t="shared" si="383"/>
        <v/>
      </c>
      <c r="BZ269" s="532" t="str">
        <f t="shared" si="384"/>
        <v/>
      </c>
      <c r="CA269" s="532">
        <f t="shared" si="385"/>
        <v>0</v>
      </c>
      <c r="CB269" s="533"/>
      <c r="CC269" s="624">
        <f t="shared" si="386"/>
        <v>0</v>
      </c>
      <c r="CD269" s="534">
        <f t="shared" si="387"/>
        <v>0</v>
      </c>
      <c r="CE269" s="534">
        <f t="shared" si="388"/>
        <v>0</v>
      </c>
      <c r="CF269" s="534">
        <f t="shared" si="389"/>
        <v>0</v>
      </c>
      <c r="CG269" s="534"/>
      <c r="CH269" s="534"/>
      <c r="CI269" s="534">
        <f t="shared" si="405"/>
        <v>0</v>
      </c>
      <c r="CL269" s="534">
        <f>IF(ISNA(VLOOKUP(I269,Veg_Parameters!$A$3:$N$65,13,FALSE)),0,(VLOOKUP(I269,Veg_Parameters!$A$3:$N$65,13,FALSE)))</f>
        <v>0</v>
      </c>
      <c r="CM269" s="534">
        <f t="shared" si="406"/>
        <v>0</v>
      </c>
      <c r="CN269" s="534">
        <f>IF(ISNA(VLOOKUP(N269,Veg_Parameters!$A$3:$N$65,13,FALSE)),0,(VLOOKUP(N269,Veg_Parameters!$A$3:$N$65,13,FALSE)))</f>
        <v>0</v>
      </c>
      <c r="CO269" s="523">
        <f t="shared" si="407"/>
        <v>0</v>
      </c>
    </row>
    <row r="270" spans="1:93" x14ac:dyDescent="0.2">
      <c r="A270" s="227"/>
      <c r="B270" s="171" t="str">
        <f t="shared" si="408"/>
        <v/>
      </c>
      <c r="C270" s="230"/>
      <c r="D270" s="169"/>
      <c r="E270" s="165"/>
      <c r="F270" s="165"/>
      <c r="G270" s="165"/>
      <c r="H270" s="165"/>
      <c r="I270" s="168"/>
      <c r="J270" s="167"/>
      <c r="K270" s="168"/>
      <c r="L270" s="167"/>
      <c r="M270" s="167"/>
      <c r="N270" s="168"/>
      <c r="O270" s="168"/>
      <c r="P270" s="167"/>
      <c r="Q270" s="167"/>
      <c r="R270" s="167"/>
      <c r="S270" s="222" t="str">
        <f>IF(ISBLANK(A270),"",IF(ISNA(VLOOKUP(I270,Veg_Parameters!$A$3:$N$65,3,FALSE)),0,(VLOOKUP(I270,Veg_Parameters!$A$3:$N$65,3,FALSE))))</f>
        <v/>
      </c>
      <c r="T270" s="222" t="str">
        <f>IF(ISBLANK(N270),"",IF(ISNA(VLOOKUP(N270,Veg_Parameters!$A$3:$N$65,3,FALSE)),0,(VLOOKUP(N270,Veg_Parameters!$A$3:$N$65,3,FALSE))))</f>
        <v/>
      </c>
      <c r="U270" s="523">
        <f t="shared" si="390"/>
        <v>0</v>
      </c>
      <c r="V270" s="523">
        <f t="shared" si="366"/>
        <v>0</v>
      </c>
      <c r="W270" s="524">
        <f>IF(ISBLANK(A270),0,IF(ISNA(VLOOKUP($I270,Veg_Parameters!$A$3:$N$65,10,FALSE)),0,(VLOOKUP($I270,Veg_Parameters!$A$3:$N$65,10,FALSE))))</f>
        <v>0</v>
      </c>
      <c r="X270" s="524">
        <f>IF(ISBLANK(A270),0,IF(ISNA(VLOOKUP($I270,Veg_Parameters!$A$3:$N$65,11,FALSE)),0,(VLOOKUP($I270,Veg_Parameters!$A$3:$N$65,11,FALSE))))</f>
        <v>0</v>
      </c>
      <c r="Y270" s="524">
        <f>IF(ISBLANK(A270),0,IF(ISNA(VLOOKUP($I270,Veg_Parameters!$A$3:$N$65,12,FALSE)),0,(VLOOKUP($I270,Veg_Parameters!$A$3:$N$65,12,FALSE))))</f>
        <v>0</v>
      </c>
      <c r="Z270" s="525">
        <f t="shared" si="367"/>
        <v>0</v>
      </c>
      <c r="AA270" s="525">
        <f t="shared" si="368"/>
        <v>0</v>
      </c>
      <c r="AB270" s="525">
        <f t="shared" si="369"/>
        <v>0</v>
      </c>
      <c r="AC270" s="524">
        <f>IF(ISBLANK(N270),0,IF(ISNA(VLOOKUP($N270,Veg_Parameters!$A$3:$N$65,10,FALSE)),0,(VLOOKUP($N270,Veg_Parameters!$A$3:$N$65,10,FALSE))))</f>
        <v>0</v>
      </c>
      <c r="AD270" s="524">
        <f>IF(ISBLANK(N270),0,IF(ISNA(VLOOKUP($N270,Veg_Parameters!$A$3:$N$65,11,FALSE)),0,(VLOOKUP($N270,Veg_Parameters!$A$3:$N$65,11,FALSE))))</f>
        <v>0</v>
      </c>
      <c r="AE270" s="524">
        <f>IF(ISBLANK(N270), 0, IF(ISNA(VLOOKUP($N270,Veg_Parameters!$A$3:$N$65,12,FALSE)),0,(VLOOKUP($N270,Veg_Parameters!$A$3:$N$65,12,FALSE))))</f>
        <v>0</v>
      </c>
      <c r="AF270" s="523">
        <f t="shared" si="370"/>
        <v>0</v>
      </c>
      <c r="AG270" s="523">
        <f t="shared" si="371"/>
        <v>0</v>
      </c>
      <c r="AH270" s="523">
        <f t="shared" si="372"/>
        <v>0</v>
      </c>
      <c r="AI270" s="526"/>
      <c r="AJ270" s="527">
        <f>AB270*(IF(ISNA(VLOOKUP($I270,Veg_Parameters!$A$3:$N$65,5,FALSE)),0,(VLOOKUP($I270,Veg_Parameters!$A$3:$N$65,5,FALSE))))</f>
        <v>0</v>
      </c>
      <c r="AK270" s="527">
        <f>IF(ISNA(VLOOKUP($I270,Veg_Parameters!$A$3:$N$65,4,FALSE)),0,(VLOOKUP($I270,Veg_Parameters!$A$3:$N$65,4,FALSE)))</f>
        <v>0</v>
      </c>
      <c r="AL270" s="527">
        <f>AB270*(IF(ISNA(VLOOKUP($I270,Veg_Parameters!$A$3:$N$65,7,FALSE)),0, (VLOOKUP($I270,Veg_Parameters!$A$3:$N$65,7,FALSE))))</f>
        <v>0</v>
      </c>
      <c r="AM270" s="528">
        <f>IF(ISNA(VLOOKUP($I270,Veg_Parameters!$A$3:$N$65,6,FALSE)), 0, (VLOOKUP($I270,Veg_Parameters!$A$3:$N$65,6,FALSE)))</f>
        <v>0</v>
      </c>
      <c r="AN270" s="529">
        <f t="shared" si="373"/>
        <v>20</v>
      </c>
      <c r="AO270" s="529">
        <f t="shared" si="374"/>
        <v>0</v>
      </c>
      <c r="AP270" s="529">
        <f t="shared" si="375"/>
        <v>0</v>
      </c>
      <c r="AQ270" s="530">
        <f t="shared" si="391"/>
        <v>0</v>
      </c>
      <c r="AR270" s="527" t="s">
        <v>3</v>
      </c>
      <c r="AS270" s="527">
        <f>IF(ISNA(VLOOKUP($I270,Veg_Parameters!$A$3:$N$65,8,FALSE)), 0, (VLOOKUP($I270,Veg_Parameters!$A$3:$N$65,8,FALSE)))</f>
        <v>0</v>
      </c>
      <c r="AT270" s="527">
        <f>AB270*(IF(ISNA(VLOOKUP($I270,Veg_Parameters!$A$3:$N$65,9,FALSE)), 0, (VLOOKUP($I270,Veg_Parameters!$A$3:$N$65,9,FALSE))))</f>
        <v>0</v>
      </c>
      <c r="AU270" s="527">
        <f>IF(ISBLANK(A270),0,VLOOKUP($I270,Veg_Parameters!$A$4:$U$65,21,))</f>
        <v>0</v>
      </c>
      <c r="AV270" s="527">
        <f t="shared" si="392"/>
        <v>0</v>
      </c>
      <c r="AW270" s="529">
        <f t="shared" si="393"/>
        <v>0</v>
      </c>
      <c r="AX270" s="529">
        <f t="shared" si="394"/>
        <v>0</v>
      </c>
      <c r="AY270" s="529">
        <f t="shared" si="376"/>
        <v>0</v>
      </c>
      <c r="AZ270" s="529">
        <f t="shared" si="395"/>
        <v>0</v>
      </c>
      <c r="BA270" s="529">
        <f t="shared" si="396"/>
        <v>0</v>
      </c>
      <c r="BB270" s="529">
        <f t="shared" si="397"/>
        <v>0</v>
      </c>
      <c r="BC270" s="529">
        <f t="shared" si="377"/>
        <v>0</v>
      </c>
      <c r="BD270" s="531"/>
      <c r="BE270" s="527">
        <f>AH270*(IF(ISNA(VLOOKUP($N270,Veg_Parameters!$A$3:$N$65,5,FALSE)),0,(VLOOKUP($N270,Veg_Parameters!$A$3:$N$65,5,FALSE))))</f>
        <v>0</v>
      </c>
      <c r="BF270" s="527">
        <f>IF(ISNA(VLOOKUP($N270,Veg_Parameters!$A$3:$N$65,4,FALSE)),0,(VLOOKUP($N270,Veg_Parameters!$A$3:$N$65,4,FALSE)))</f>
        <v>0</v>
      </c>
      <c r="BG270" s="527">
        <f>AH270*(IF(ISNA(VLOOKUP($N270,Veg_Parameters!$A$3:$N$65,7,FALSE)),0, (VLOOKUP($N270,Veg_Parameters!$A$3:$N$65,7,FALSE))))</f>
        <v>0</v>
      </c>
      <c r="BH270" s="527">
        <f>IF(ISNA(VLOOKUP($N270,Veg_Parameters!$A$3:$N$65,6,FALSE)), 0, (VLOOKUP($N270,Veg_Parameters!$A$3:$N$65,6,FALSE)))</f>
        <v>0</v>
      </c>
      <c r="BI270" s="529">
        <f t="shared" si="378"/>
        <v>20</v>
      </c>
      <c r="BJ270" s="529">
        <f t="shared" si="398"/>
        <v>0</v>
      </c>
      <c r="BK270" s="529">
        <f t="shared" si="379"/>
        <v>0</v>
      </c>
      <c r="BL270" s="530">
        <f t="shared" si="399"/>
        <v>0</v>
      </c>
      <c r="BM270" s="527" t="s">
        <v>3</v>
      </c>
      <c r="BN270" s="527">
        <f>IF(ISNA(VLOOKUP(N270,Veg_Parameters!$A$3:$N$65,8,FALSE)), 0, (VLOOKUP($N270,Veg_Parameters!$A$3:$N$65,8,FALSE)))</f>
        <v>0</v>
      </c>
      <c r="BO270" s="527">
        <f>AH270*(IF(ISNA(VLOOKUP($N270,Veg_Parameters!$A$3:$N$65,9,FALSE)), 0, (VLOOKUP($N270,Veg_Parameters!$A$3:$N$65,9,FALSE))))</f>
        <v>0</v>
      </c>
      <c r="BP270" s="527" t="str">
        <f>IF(ISBLANK(N270),"0",VLOOKUP($N270,Veg_Parameters!$A$4:$U$65,21,))</f>
        <v>0</v>
      </c>
      <c r="BQ270" s="529">
        <f t="shared" si="400"/>
        <v>0</v>
      </c>
      <c r="BR270" s="529">
        <f t="shared" si="401"/>
        <v>0</v>
      </c>
      <c r="BS270" s="529">
        <f t="shared" si="380"/>
        <v>0</v>
      </c>
      <c r="BT270" s="529">
        <f t="shared" si="402"/>
        <v>0</v>
      </c>
      <c r="BU270" s="529">
        <f t="shared" si="403"/>
        <v>0</v>
      </c>
      <c r="BV270" s="529">
        <f t="shared" si="404"/>
        <v>0</v>
      </c>
      <c r="BW270" s="532" t="str">
        <f t="shared" si="381"/>
        <v/>
      </c>
      <c r="BX270" s="532" t="str">
        <f t="shared" si="382"/>
        <v/>
      </c>
      <c r="BY270" s="532" t="str">
        <f t="shared" si="383"/>
        <v/>
      </c>
      <c r="BZ270" s="532" t="str">
        <f t="shared" si="384"/>
        <v/>
      </c>
      <c r="CA270" s="532">
        <f t="shared" si="385"/>
        <v>0</v>
      </c>
      <c r="CB270" s="533"/>
      <c r="CC270" s="624">
        <f t="shared" si="386"/>
        <v>0</v>
      </c>
      <c r="CD270" s="534">
        <f t="shared" si="387"/>
        <v>0</v>
      </c>
      <c r="CE270" s="534">
        <f t="shared" si="388"/>
        <v>0</v>
      </c>
      <c r="CF270" s="534">
        <f t="shared" si="389"/>
        <v>0</v>
      </c>
      <c r="CG270" s="534"/>
      <c r="CH270" s="534"/>
      <c r="CI270" s="534">
        <f t="shared" si="405"/>
        <v>0</v>
      </c>
      <c r="CL270" s="534">
        <f>IF(ISNA(VLOOKUP(I270,Veg_Parameters!$A$3:$N$65,13,FALSE)),0,(VLOOKUP(I270,Veg_Parameters!$A$3:$N$65,13,FALSE)))</f>
        <v>0</v>
      </c>
      <c r="CM270" s="534">
        <f t="shared" si="406"/>
        <v>0</v>
      </c>
      <c r="CN270" s="534">
        <f>IF(ISNA(VLOOKUP(N270,Veg_Parameters!$A$3:$N$65,13,FALSE)),0,(VLOOKUP(N270,Veg_Parameters!$A$3:$N$65,13,FALSE)))</f>
        <v>0</v>
      </c>
      <c r="CO270" s="523">
        <f t="shared" si="407"/>
        <v>0</v>
      </c>
    </row>
    <row r="271" spans="1:93" x14ac:dyDescent="0.2">
      <c r="A271" s="227"/>
      <c r="B271" s="171" t="str">
        <f t="shared" si="408"/>
        <v/>
      </c>
      <c r="C271" s="230"/>
      <c r="D271" s="169"/>
      <c r="E271" s="165"/>
      <c r="F271" s="165"/>
      <c r="G271" s="165"/>
      <c r="H271" s="165"/>
      <c r="I271" s="168"/>
      <c r="J271" s="167"/>
      <c r="K271" s="168"/>
      <c r="L271" s="167"/>
      <c r="M271" s="167"/>
      <c r="N271" s="168"/>
      <c r="O271" s="168"/>
      <c r="P271" s="167"/>
      <c r="Q271" s="167"/>
      <c r="R271" s="167"/>
      <c r="S271" s="222" t="str">
        <f>IF(ISBLANK(A271),"",IF(ISNA(VLOOKUP(I271,Veg_Parameters!$A$3:$N$65,3,FALSE)),0,(VLOOKUP(I271,Veg_Parameters!$A$3:$N$65,3,FALSE))))</f>
        <v/>
      </c>
      <c r="T271" s="222" t="str">
        <f>IF(ISBLANK(N271),"",IF(ISNA(VLOOKUP(N271,Veg_Parameters!$A$3:$N$65,3,FALSE)),0,(VLOOKUP(N271,Veg_Parameters!$A$3:$N$65,3,FALSE))))</f>
        <v/>
      </c>
      <c r="U271" s="523">
        <f t="shared" si="390"/>
        <v>0</v>
      </c>
      <c r="V271" s="523">
        <f t="shared" si="366"/>
        <v>0</v>
      </c>
      <c r="W271" s="524">
        <f>IF(ISBLANK(A271),0,IF(ISNA(VLOOKUP($I271,Veg_Parameters!$A$3:$N$65,10,FALSE)),0,(VLOOKUP($I271,Veg_Parameters!$A$3:$N$65,10,FALSE))))</f>
        <v>0</v>
      </c>
      <c r="X271" s="524">
        <f>IF(ISBLANK(A271),0,IF(ISNA(VLOOKUP($I271,Veg_Parameters!$A$3:$N$65,11,FALSE)),0,(VLOOKUP($I271,Veg_Parameters!$A$3:$N$65,11,FALSE))))</f>
        <v>0</v>
      </c>
      <c r="Y271" s="524">
        <f>IF(ISBLANK(A271),0,IF(ISNA(VLOOKUP($I271,Veg_Parameters!$A$3:$N$65,12,FALSE)),0,(VLOOKUP($I271,Veg_Parameters!$A$3:$N$65,12,FALSE))))</f>
        <v>0</v>
      </c>
      <c r="Z271" s="525">
        <f t="shared" si="367"/>
        <v>0</v>
      </c>
      <c r="AA271" s="525">
        <f t="shared" si="368"/>
        <v>0</v>
      </c>
      <c r="AB271" s="525">
        <f t="shared" si="369"/>
        <v>0</v>
      </c>
      <c r="AC271" s="524">
        <f>IF(ISBLANK(N271),0,IF(ISNA(VLOOKUP($N271,Veg_Parameters!$A$3:$N$65,10,FALSE)),0,(VLOOKUP($N271,Veg_Parameters!$A$3:$N$65,10,FALSE))))</f>
        <v>0</v>
      </c>
      <c r="AD271" s="524">
        <f>IF(ISBLANK(N271),0,IF(ISNA(VLOOKUP($N271,Veg_Parameters!$A$3:$N$65,11,FALSE)),0,(VLOOKUP($N271,Veg_Parameters!$A$3:$N$65,11,FALSE))))</f>
        <v>0</v>
      </c>
      <c r="AE271" s="524">
        <f>IF(ISBLANK(N271), 0, IF(ISNA(VLOOKUP($N271,Veg_Parameters!$A$3:$N$65,12,FALSE)),0,(VLOOKUP($N271,Veg_Parameters!$A$3:$N$65,12,FALSE))))</f>
        <v>0</v>
      </c>
      <c r="AF271" s="523">
        <f t="shared" si="370"/>
        <v>0</v>
      </c>
      <c r="AG271" s="523">
        <f t="shared" si="371"/>
        <v>0</v>
      </c>
      <c r="AH271" s="523">
        <f t="shared" si="372"/>
        <v>0</v>
      </c>
      <c r="AI271" s="526"/>
      <c r="AJ271" s="527">
        <f>AB271*(IF(ISNA(VLOOKUP($I271,Veg_Parameters!$A$3:$N$65,5,FALSE)),0,(VLOOKUP($I271,Veg_Parameters!$A$3:$N$65,5,FALSE))))</f>
        <v>0</v>
      </c>
      <c r="AK271" s="527">
        <f>IF(ISNA(VLOOKUP($I271,Veg_Parameters!$A$3:$N$65,4,FALSE)),0,(VLOOKUP($I271,Veg_Parameters!$A$3:$N$65,4,FALSE)))</f>
        <v>0</v>
      </c>
      <c r="AL271" s="527">
        <f>AB271*(IF(ISNA(VLOOKUP($I271,Veg_Parameters!$A$3:$N$65,7,FALSE)),0, (VLOOKUP($I271,Veg_Parameters!$A$3:$N$65,7,FALSE))))</f>
        <v>0</v>
      </c>
      <c r="AM271" s="528">
        <f>IF(ISNA(VLOOKUP($I271,Veg_Parameters!$A$3:$N$65,6,FALSE)), 0, (VLOOKUP($I271,Veg_Parameters!$A$3:$N$65,6,FALSE)))</f>
        <v>0</v>
      </c>
      <c r="AN271" s="529">
        <f t="shared" si="373"/>
        <v>20</v>
      </c>
      <c r="AO271" s="529">
        <f t="shared" si="374"/>
        <v>0</v>
      </c>
      <c r="AP271" s="529">
        <f t="shared" si="375"/>
        <v>0</v>
      </c>
      <c r="AQ271" s="530">
        <f t="shared" si="391"/>
        <v>0</v>
      </c>
      <c r="AR271" s="527" t="s">
        <v>3</v>
      </c>
      <c r="AS271" s="527">
        <f>IF(ISNA(VLOOKUP($I271,Veg_Parameters!$A$3:$N$65,8,FALSE)), 0, (VLOOKUP($I271,Veg_Parameters!$A$3:$N$65,8,FALSE)))</f>
        <v>0</v>
      </c>
      <c r="AT271" s="527">
        <f>AB271*(IF(ISNA(VLOOKUP($I271,Veg_Parameters!$A$3:$N$65,9,FALSE)), 0, (VLOOKUP($I271,Veg_Parameters!$A$3:$N$65,9,FALSE))))</f>
        <v>0</v>
      </c>
      <c r="AU271" s="527">
        <f>IF(ISBLANK(A271),0,VLOOKUP($I271,Veg_Parameters!$A$4:$U$65,21,))</f>
        <v>0</v>
      </c>
      <c r="AV271" s="527">
        <f t="shared" si="392"/>
        <v>0</v>
      </c>
      <c r="AW271" s="529">
        <f t="shared" si="393"/>
        <v>0</v>
      </c>
      <c r="AX271" s="529">
        <f t="shared" si="394"/>
        <v>0</v>
      </c>
      <c r="AY271" s="529">
        <f t="shared" si="376"/>
        <v>0</v>
      </c>
      <c r="AZ271" s="529">
        <f t="shared" si="395"/>
        <v>0</v>
      </c>
      <c r="BA271" s="529">
        <f t="shared" si="396"/>
        <v>0</v>
      </c>
      <c r="BB271" s="529">
        <f t="shared" si="397"/>
        <v>0</v>
      </c>
      <c r="BC271" s="529">
        <f t="shared" si="377"/>
        <v>0</v>
      </c>
      <c r="BD271" s="531"/>
      <c r="BE271" s="527">
        <f>AH271*(IF(ISNA(VLOOKUP($N271,Veg_Parameters!$A$3:$N$65,5,FALSE)),0,(VLOOKUP($N271,Veg_Parameters!$A$3:$N$65,5,FALSE))))</f>
        <v>0</v>
      </c>
      <c r="BF271" s="527">
        <f>IF(ISNA(VLOOKUP($N271,Veg_Parameters!$A$3:$N$65,4,FALSE)),0,(VLOOKUP($N271,Veg_Parameters!$A$3:$N$65,4,FALSE)))</f>
        <v>0</v>
      </c>
      <c r="BG271" s="527">
        <f>AH271*(IF(ISNA(VLOOKUP($N271,Veg_Parameters!$A$3:$N$65,7,FALSE)),0, (VLOOKUP($N271,Veg_Parameters!$A$3:$N$65,7,FALSE))))</f>
        <v>0</v>
      </c>
      <c r="BH271" s="527">
        <f>IF(ISNA(VLOOKUP($N271,Veg_Parameters!$A$3:$N$65,6,FALSE)), 0, (VLOOKUP($N271,Veg_Parameters!$A$3:$N$65,6,FALSE)))</f>
        <v>0</v>
      </c>
      <c r="BI271" s="529">
        <f t="shared" si="378"/>
        <v>20</v>
      </c>
      <c r="BJ271" s="529">
        <f t="shared" si="398"/>
        <v>0</v>
      </c>
      <c r="BK271" s="529">
        <f t="shared" si="379"/>
        <v>0</v>
      </c>
      <c r="BL271" s="530">
        <f t="shared" si="399"/>
        <v>0</v>
      </c>
      <c r="BM271" s="527" t="s">
        <v>3</v>
      </c>
      <c r="BN271" s="527">
        <f>IF(ISNA(VLOOKUP(N271,Veg_Parameters!$A$3:$N$65,8,FALSE)), 0, (VLOOKUP($N271,Veg_Parameters!$A$3:$N$65,8,FALSE)))</f>
        <v>0</v>
      </c>
      <c r="BO271" s="527">
        <f>AH271*(IF(ISNA(VLOOKUP($N271,Veg_Parameters!$A$3:$N$65,9,FALSE)), 0, (VLOOKUP($N271,Veg_Parameters!$A$3:$N$65,9,FALSE))))</f>
        <v>0</v>
      </c>
      <c r="BP271" s="527" t="str">
        <f>IF(ISBLANK(N271),"0",VLOOKUP($N271,Veg_Parameters!$A$4:$U$65,21,))</f>
        <v>0</v>
      </c>
      <c r="BQ271" s="529">
        <f t="shared" si="400"/>
        <v>0</v>
      </c>
      <c r="BR271" s="529">
        <f t="shared" si="401"/>
        <v>0</v>
      </c>
      <c r="BS271" s="529">
        <f t="shared" si="380"/>
        <v>0</v>
      </c>
      <c r="BT271" s="529">
        <f t="shared" si="402"/>
        <v>0</v>
      </c>
      <c r="BU271" s="529">
        <f t="shared" si="403"/>
        <v>0</v>
      </c>
      <c r="BV271" s="529">
        <f t="shared" si="404"/>
        <v>0</v>
      </c>
      <c r="BW271" s="532" t="str">
        <f t="shared" si="381"/>
        <v/>
      </c>
      <c r="BX271" s="532" t="str">
        <f t="shared" si="382"/>
        <v/>
      </c>
      <c r="BY271" s="532" t="str">
        <f t="shared" si="383"/>
        <v/>
      </c>
      <c r="BZ271" s="532" t="str">
        <f t="shared" si="384"/>
        <v/>
      </c>
      <c r="CA271" s="532">
        <f t="shared" si="385"/>
        <v>0</v>
      </c>
      <c r="CB271" s="533"/>
      <c r="CC271" s="624">
        <f t="shared" si="386"/>
        <v>0</v>
      </c>
      <c r="CD271" s="534">
        <f t="shared" si="387"/>
        <v>0</v>
      </c>
      <c r="CE271" s="534">
        <f t="shared" si="388"/>
        <v>0</v>
      </c>
      <c r="CF271" s="534">
        <f t="shared" si="389"/>
        <v>0</v>
      </c>
      <c r="CG271" s="534"/>
      <c r="CH271" s="534"/>
      <c r="CI271" s="534">
        <f t="shared" si="405"/>
        <v>0</v>
      </c>
      <c r="CL271" s="534">
        <f>IF(ISNA(VLOOKUP(I271,Veg_Parameters!$A$3:$N$65,13,FALSE)),0,(VLOOKUP(I271,Veg_Parameters!$A$3:$N$65,13,FALSE)))</f>
        <v>0</v>
      </c>
      <c r="CM271" s="534">
        <f t="shared" si="406"/>
        <v>0</v>
      </c>
      <c r="CN271" s="534">
        <f>IF(ISNA(VLOOKUP(N271,Veg_Parameters!$A$3:$N$65,13,FALSE)),0,(VLOOKUP(N271,Veg_Parameters!$A$3:$N$65,13,FALSE)))</f>
        <v>0</v>
      </c>
      <c r="CO271" s="523">
        <f t="shared" si="407"/>
        <v>0</v>
      </c>
    </row>
    <row r="272" spans="1:93" x14ac:dyDescent="0.2">
      <c r="A272" s="227"/>
      <c r="B272" s="171" t="str">
        <f t="shared" si="408"/>
        <v/>
      </c>
      <c r="C272" s="230"/>
      <c r="D272" s="169"/>
      <c r="E272" s="165"/>
      <c r="F272" s="165"/>
      <c r="G272" s="165"/>
      <c r="H272" s="165"/>
      <c r="I272" s="168"/>
      <c r="J272" s="167"/>
      <c r="K272" s="168"/>
      <c r="L272" s="167"/>
      <c r="M272" s="167"/>
      <c r="N272" s="168"/>
      <c r="O272" s="168"/>
      <c r="P272" s="167"/>
      <c r="Q272" s="167"/>
      <c r="R272" s="167"/>
      <c r="S272" s="222" t="str">
        <f>IF(ISBLANK(A272),"",IF(ISNA(VLOOKUP(I272,Veg_Parameters!$A$3:$N$65,3,FALSE)),0,(VLOOKUP(I272,Veg_Parameters!$A$3:$N$65,3,FALSE))))</f>
        <v/>
      </c>
      <c r="T272" s="222" t="str">
        <f>IF(ISBLANK(N272),"",IF(ISNA(VLOOKUP(N272,Veg_Parameters!$A$3:$N$65,3,FALSE)),0,(VLOOKUP(N272,Veg_Parameters!$A$3:$N$65,3,FALSE))))</f>
        <v/>
      </c>
      <c r="U272" s="523">
        <f t="shared" si="390"/>
        <v>0</v>
      </c>
      <c r="V272" s="523">
        <f t="shared" si="366"/>
        <v>0</v>
      </c>
      <c r="W272" s="524">
        <f>IF(ISBLANK(A272),0,IF(ISNA(VLOOKUP($I272,Veg_Parameters!$A$3:$N$65,10,FALSE)),0,(VLOOKUP($I272,Veg_Parameters!$A$3:$N$65,10,FALSE))))</f>
        <v>0</v>
      </c>
      <c r="X272" s="524">
        <f>IF(ISBLANK(A272),0,IF(ISNA(VLOOKUP($I272,Veg_Parameters!$A$3:$N$65,11,FALSE)),0,(VLOOKUP($I272,Veg_Parameters!$A$3:$N$65,11,FALSE))))</f>
        <v>0</v>
      </c>
      <c r="Y272" s="524">
        <f>IF(ISBLANK(A272),0,IF(ISNA(VLOOKUP($I272,Veg_Parameters!$A$3:$N$65,12,FALSE)),0,(VLOOKUP($I272,Veg_Parameters!$A$3:$N$65,12,FALSE))))</f>
        <v>0</v>
      </c>
      <c r="Z272" s="525">
        <f t="shared" si="367"/>
        <v>0</v>
      </c>
      <c r="AA272" s="525">
        <f t="shared" si="368"/>
        <v>0</v>
      </c>
      <c r="AB272" s="525">
        <f t="shared" si="369"/>
        <v>0</v>
      </c>
      <c r="AC272" s="524">
        <f>IF(ISBLANK(N272),0,IF(ISNA(VLOOKUP($N272,Veg_Parameters!$A$3:$N$65,10,FALSE)),0,(VLOOKUP($N272,Veg_Parameters!$A$3:$N$65,10,FALSE))))</f>
        <v>0</v>
      </c>
      <c r="AD272" s="524">
        <f>IF(ISBLANK(N272),0,IF(ISNA(VLOOKUP($N272,Veg_Parameters!$A$3:$N$65,11,FALSE)),0,(VLOOKUP($N272,Veg_Parameters!$A$3:$N$65,11,FALSE))))</f>
        <v>0</v>
      </c>
      <c r="AE272" s="524">
        <f>IF(ISBLANK(N272), 0, IF(ISNA(VLOOKUP($N272,Veg_Parameters!$A$3:$N$65,12,FALSE)),0,(VLOOKUP($N272,Veg_Parameters!$A$3:$N$65,12,FALSE))))</f>
        <v>0</v>
      </c>
      <c r="AF272" s="523">
        <f t="shared" si="370"/>
        <v>0</v>
      </c>
      <c r="AG272" s="523">
        <f t="shared" si="371"/>
        <v>0</v>
      </c>
      <c r="AH272" s="523">
        <f t="shared" si="372"/>
        <v>0</v>
      </c>
      <c r="AI272" s="526"/>
      <c r="AJ272" s="527">
        <f>AB272*(IF(ISNA(VLOOKUP($I272,Veg_Parameters!$A$3:$N$65,5,FALSE)),0,(VLOOKUP($I272,Veg_Parameters!$A$3:$N$65,5,FALSE))))</f>
        <v>0</v>
      </c>
      <c r="AK272" s="527">
        <f>IF(ISNA(VLOOKUP($I272,Veg_Parameters!$A$3:$N$65,4,FALSE)),0,(VLOOKUP($I272,Veg_Parameters!$A$3:$N$65,4,FALSE)))</f>
        <v>0</v>
      </c>
      <c r="AL272" s="527">
        <f>AB272*(IF(ISNA(VLOOKUP($I272,Veg_Parameters!$A$3:$N$65,7,FALSE)),0, (VLOOKUP($I272,Veg_Parameters!$A$3:$N$65,7,FALSE))))</f>
        <v>0</v>
      </c>
      <c r="AM272" s="528">
        <f>IF(ISNA(VLOOKUP($I272,Veg_Parameters!$A$3:$N$65,6,FALSE)), 0, (VLOOKUP($I272,Veg_Parameters!$A$3:$N$65,6,FALSE)))</f>
        <v>0</v>
      </c>
      <c r="AN272" s="529">
        <f t="shared" si="373"/>
        <v>20</v>
      </c>
      <c r="AO272" s="529">
        <f t="shared" si="374"/>
        <v>0</v>
      </c>
      <c r="AP272" s="529">
        <f t="shared" si="375"/>
        <v>0</v>
      </c>
      <c r="AQ272" s="530">
        <f t="shared" si="391"/>
        <v>0</v>
      </c>
      <c r="AR272" s="527" t="s">
        <v>3</v>
      </c>
      <c r="AS272" s="527">
        <f>IF(ISNA(VLOOKUP($I272,Veg_Parameters!$A$3:$N$65,8,FALSE)), 0, (VLOOKUP($I272,Veg_Parameters!$A$3:$N$65,8,FALSE)))</f>
        <v>0</v>
      </c>
      <c r="AT272" s="527">
        <f>AB272*(IF(ISNA(VLOOKUP($I272,Veg_Parameters!$A$3:$N$65,9,FALSE)), 0, (VLOOKUP($I272,Veg_Parameters!$A$3:$N$65,9,FALSE))))</f>
        <v>0</v>
      </c>
      <c r="AU272" s="527">
        <f>IF(ISBLANK(A272),0,VLOOKUP($I272,Veg_Parameters!$A$4:$U$65,21,))</f>
        <v>0</v>
      </c>
      <c r="AV272" s="527">
        <f t="shared" si="392"/>
        <v>0</v>
      </c>
      <c r="AW272" s="529">
        <f t="shared" si="393"/>
        <v>0</v>
      </c>
      <c r="AX272" s="529">
        <f t="shared" si="394"/>
        <v>0</v>
      </c>
      <c r="AY272" s="529">
        <f t="shared" si="376"/>
        <v>0</v>
      </c>
      <c r="AZ272" s="529">
        <f t="shared" si="395"/>
        <v>0</v>
      </c>
      <c r="BA272" s="529">
        <f t="shared" si="396"/>
        <v>0</v>
      </c>
      <c r="BB272" s="529">
        <f t="shared" si="397"/>
        <v>0</v>
      </c>
      <c r="BC272" s="529">
        <f t="shared" si="377"/>
        <v>0</v>
      </c>
      <c r="BD272" s="531"/>
      <c r="BE272" s="527">
        <f>AH272*(IF(ISNA(VLOOKUP($N272,Veg_Parameters!$A$3:$N$65,5,FALSE)),0,(VLOOKUP($N272,Veg_Parameters!$A$3:$N$65,5,FALSE))))</f>
        <v>0</v>
      </c>
      <c r="BF272" s="527">
        <f>IF(ISNA(VLOOKUP($N272,Veg_Parameters!$A$3:$N$65,4,FALSE)),0,(VLOOKUP($N272,Veg_Parameters!$A$3:$N$65,4,FALSE)))</f>
        <v>0</v>
      </c>
      <c r="BG272" s="527">
        <f>AH272*(IF(ISNA(VLOOKUP($N272,Veg_Parameters!$A$3:$N$65,7,FALSE)),0, (VLOOKUP($N272,Veg_Parameters!$A$3:$N$65,7,FALSE))))</f>
        <v>0</v>
      </c>
      <c r="BH272" s="527">
        <f>IF(ISNA(VLOOKUP($N272,Veg_Parameters!$A$3:$N$65,6,FALSE)), 0, (VLOOKUP($N272,Veg_Parameters!$A$3:$N$65,6,FALSE)))</f>
        <v>0</v>
      </c>
      <c r="BI272" s="529">
        <f t="shared" si="378"/>
        <v>20</v>
      </c>
      <c r="BJ272" s="529">
        <f t="shared" si="398"/>
        <v>0</v>
      </c>
      <c r="BK272" s="529">
        <f t="shared" si="379"/>
        <v>0</v>
      </c>
      <c r="BL272" s="530">
        <f t="shared" si="399"/>
        <v>0</v>
      </c>
      <c r="BM272" s="527" t="s">
        <v>3</v>
      </c>
      <c r="BN272" s="527">
        <f>IF(ISNA(VLOOKUP(N272,Veg_Parameters!$A$3:$N$65,8,FALSE)), 0, (VLOOKUP($N272,Veg_Parameters!$A$3:$N$65,8,FALSE)))</f>
        <v>0</v>
      </c>
      <c r="BO272" s="527">
        <f>AH272*(IF(ISNA(VLOOKUP($N272,Veg_Parameters!$A$3:$N$65,9,FALSE)), 0, (VLOOKUP($N272,Veg_Parameters!$A$3:$N$65,9,FALSE))))</f>
        <v>0</v>
      </c>
      <c r="BP272" s="527" t="str">
        <f>IF(ISBLANK(N272),"0",VLOOKUP($N272,Veg_Parameters!$A$4:$U$65,21,))</f>
        <v>0</v>
      </c>
      <c r="BQ272" s="529">
        <f t="shared" si="400"/>
        <v>0</v>
      </c>
      <c r="BR272" s="529">
        <f t="shared" si="401"/>
        <v>0</v>
      </c>
      <c r="BS272" s="529">
        <f t="shared" si="380"/>
        <v>0</v>
      </c>
      <c r="BT272" s="529">
        <f t="shared" si="402"/>
        <v>0</v>
      </c>
      <c r="BU272" s="529">
        <f t="shared" si="403"/>
        <v>0</v>
      </c>
      <c r="BV272" s="529">
        <f t="shared" si="404"/>
        <v>0</v>
      </c>
      <c r="BW272" s="532" t="str">
        <f t="shared" si="381"/>
        <v/>
      </c>
      <c r="BX272" s="532" t="str">
        <f t="shared" si="382"/>
        <v/>
      </c>
      <c r="BY272" s="532" t="str">
        <f t="shared" si="383"/>
        <v/>
      </c>
      <c r="BZ272" s="532" t="str">
        <f t="shared" si="384"/>
        <v/>
      </c>
      <c r="CA272" s="532">
        <f t="shared" si="385"/>
        <v>0</v>
      </c>
      <c r="CB272" s="533"/>
      <c r="CC272" s="624">
        <f t="shared" si="386"/>
        <v>0</v>
      </c>
      <c r="CD272" s="534">
        <f t="shared" si="387"/>
        <v>0</v>
      </c>
      <c r="CE272" s="534">
        <f t="shared" si="388"/>
        <v>0</v>
      </c>
      <c r="CF272" s="534">
        <f t="shared" si="389"/>
        <v>0</v>
      </c>
      <c r="CG272" s="534"/>
      <c r="CH272" s="534"/>
      <c r="CI272" s="534">
        <f t="shared" si="405"/>
        <v>0</v>
      </c>
      <c r="CL272" s="534">
        <f>IF(ISNA(VLOOKUP(I272,Veg_Parameters!$A$3:$N$65,13,FALSE)),0,(VLOOKUP(I272,Veg_Parameters!$A$3:$N$65,13,FALSE)))</f>
        <v>0</v>
      </c>
      <c r="CM272" s="534">
        <f t="shared" si="406"/>
        <v>0</v>
      </c>
      <c r="CN272" s="534">
        <f>IF(ISNA(VLOOKUP(N272,Veg_Parameters!$A$3:$N$65,13,FALSE)),0,(VLOOKUP(N272,Veg_Parameters!$A$3:$N$65,13,FALSE)))</f>
        <v>0</v>
      </c>
      <c r="CO272" s="523">
        <f t="shared" si="407"/>
        <v>0</v>
      </c>
    </row>
    <row r="273" spans="1:93" x14ac:dyDescent="0.2">
      <c r="A273" s="227"/>
      <c r="B273" s="171" t="str">
        <f t="shared" si="408"/>
        <v/>
      </c>
      <c r="C273" s="230"/>
      <c r="D273" s="169"/>
      <c r="E273" s="165"/>
      <c r="F273" s="165"/>
      <c r="G273" s="165"/>
      <c r="H273" s="165"/>
      <c r="I273" s="168"/>
      <c r="J273" s="167"/>
      <c r="K273" s="168"/>
      <c r="L273" s="167"/>
      <c r="M273" s="167"/>
      <c r="N273" s="168"/>
      <c r="O273" s="168"/>
      <c r="P273" s="167"/>
      <c r="Q273" s="167"/>
      <c r="R273" s="167"/>
      <c r="S273" s="222" t="str">
        <f>IF(ISBLANK(A273),"",IF(ISNA(VLOOKUP(I273,Veg_Parameters!$A$3:$N$65,3,FALSE)),0,(VLOOKUP(I273,Veg_Parameters!$A$3:$N$65,3,FALSE))))</f>
        <v/>
      </c>
      <c r="T273" s="222" t="str">
        <f>IF(ISBLANK(N273),"",IF(ISNA(VLOOKUP(N273,Veg_Parameters!$A$3:$N$65,3,FALSE)),0,(VLOOKUP(N273,Veg_Parameters!$A$3:$N$65,3,FALSE))))</f>
        <v/>
      </c>
      <c r="U273" s="523">
        <f t="shared" si="390"/>
        <v>0</v>
      </c>
      <c r="V273" s="523">
        <f t="shared" si="366"/>
        <v>0</v>
      </c>
      <c r="W273" s="524">
        <f>IF(ISBLANK(A273),0,IF(ISNA(VLOOKUP($I273,Veg_Parameters!$A$3:$N$65,10,FALSE)),0,(VLOOKUP($I273,Veg_Parameters!$A$3:$N$65,10,FALSE))))</f>
        <v>0</v>
      </c>
      <c r="X273" s="524">
        <f>IF(ISBLANK(A273),0,IF(ISNA(VLOOKUP($I273,Veg_Parameters!$A$3:$N$65,11,FALSE)),0,(VLOOKUP($I273,Veg_Parameters!$A$3:$N$65,11,FALSE))))</f>
        <v>0</v>
      </c>
      <c r="Y273" s="524">
        <f>IF(ISBLANK(A273),0,IF(ISNA(VLOOKUP($I273,Veg_Parameters!$A$3:$N$65,12,FALSE)),0,(VLOOKUP($I273,Veg_Parameters!$A$3:$N$65,12,FALSE))))</f>
        <v>0</v>
      </c>
      <c r="Z273" s="525">
        <f t="shared" si="367"/>
        <v>0</v>
      </c>
      <c r="AA273" s="525">
        <f t="shared" si="368"/>
        <v>0</v>
      </c>
      <c r="AB273" s="525">
        <f t="shared" si="369"/>
        <v>0</v>
      </c>
      <c r="AC273" s="524">
        <f>IF(ISBLANK(N273),0,IF(ISNA(VLOOKUP($N273,Veg_Parameters!$A$3:$N$65,10,FALSE)),0,(VLOOKUP($N273,Veg_Parameters!$A$3:$N$65,10,FALSE))))</f>
        <v>0</v>
      </c>
      <c r="AD273" s="524">
        <f>IF(ISBLANK(N273),0,IF(ISNA(VLOOKUP($N273,Veg_Parameters!$A$3:$N$65,11,FALSE)),0,(VLOOKUP($N273,Veg_Parameters!$A$3:$N$65,11,FALSE))))</f>
        <v>0</v>
      </c>
      <c r="AE273" s="524">
        <f>IF(ISBLANK(N273), 0, IF(ISNA(VLOOKUP($N273,Veg_Parameters!$A$3:$N$65,12,FALSE)),0,(VLOOKUP($N273,Veg_Parameters!$A$3:$N$65,12,FALSE))))</f>
        <v>0</v>
      </c>
      <c r="AF273" s="523">
        <f t="shared" si="370"/>
        <v>0</v>
      </c>
      <c r="AG273" s="523">
        <f t="shared" si="371"/>
        <v>0</v>
      </c>
      <c r="AH273" s="523">
        <f t="shared" si="372"/>
        <v>0</v>
      </c>
      <c r="AI273" s="526"/>
      <c r="AJ273" s="527">
        <f>AB273*(IF(ISNA(VLOOKUP($I273,Veg_Parameters!$A$3:$N$65,5,FALSE)),0,(VLOOKUP($I273,Veg_Parameters!$A$3:$N$65,5,FALSE))))</f>
        <v>0</v>
      </c>
      <c r="AK273" s="527">
        <f>IF(ISNA(VLOOKUP($I273,Veg_Parameters!$A$3:$N$65,4,FALSE)),0,(VLOOKUP($I273,Veg_Parameters!$A$3:$N$65,4,FALSE)))</f>
        <v>0</v>
      </c>
      <c r="AL273" s="527">
        <f>AB273*(IF(ISNA(VLOOKUP($I273,Veg_Parameters!$A$3:$N$65,7,FALSE)),0, (VLOOKUP($I273,Veg_Parameters!$A$3:$N$65,7,FALSE))))</f>
        <v>0</v>
      </c>
      <c r="AM273" s="528">
        <f>IF(ISNA(VLOOKUP($I273,Veg_Parameters!$A$3:$N$65,6,FALSE)), 0, (VLOOKUP($I273,Veg_Parameters!$A$3:$N$65,6,FALSE)))</f>
        <v>0</v>
      </c>
      <c r="AN273" s="529">
        <f t="shared" si="373"/>
        <v>20</v>
      </c>
      <c r="AO273" s="529">
        <f t="shared" si="374"/>
        <v>0</v>
      </c>
      <c r="AP273" s="529">
        <f t="shared" si="375"/>
        <v>0</v>
      </c>
      <c r="AQ273" s="530">
        <f t="shared" si="391"/>
        <v>0</v>
      </c>
      <c r="AR273" s="527" t="s">
        <v>3</v>
      </c>
      <c r="AS273" s="527">
        <f>IF(ISNA(VLOOKUP($I273,Veg_Parameters!$A$3:$N$65,8,FALSE)), 0, (VLOOKUP($I273,Veg_Parameters!$A$3:$N$65,8,FALSE)))</f>
        <v>0</v>
      </c>
      <c r="AT273" s="527">
        <f>AB273*(IF(ISNA(VLOOKUP($I273,Veg_Parameters!$A$3:$N$65,9,FALSE)), 0, (VLOOKUP($I273,Veg_Parameters!$A$3:$N$65,9,FALSE))))</f>
        <v>0</v>
      </c>
      <c r="AU273" s="527">
        <f>IF(ISBLANK(A273),0,VLOOKUP($I273,Veg_Parameters!$A$4:$U$65,21,))</f>
        <v>0</v>
      </c>
      <c r="AV273" s="527">
        <f t="shared" si="392"/>
        <v>0</v>
      </c>
      <c r="AW273" s="529">
        <f t="shared" si="393"/>
        <v>0</v>
      </c>
      <c r="AX273" s="529">
        <f t="shared" si="394"/>
        <v>0</v>
      </c>
      <c r="AY273" s="529">
        <f t="shared" si="376"/>
        <v>0</v>
      </c>
      <c r="AZ273" s="529">
        <f t="shared" si="395"/>
        <v>0</v>
      </c>
      <c r="BA273" s="529">
        <f t="shared" si="396"/>
        <v>0</v>
      </c>
      <c r="BB273" s="529">
        <f t="shared" si="397"/>
        <v>0</v>
      </c>
      <c r="BC273" s="529">
        <f t="shared" si="377"/>
        <v>0</v>
      </c>
      <c r="BD273" s="531"/>
      <c r="BE273" s="527">
        <f>AH273*(IF(ISNA(VLOOKUP($N273,Veg_Parameters!$A$3:$N$65,5,FALSE)),0,(VLOOKUP($N273,Veg_Parameters!$A$3:$N$65,5,FALSE))))</f>
        <v>0</v>
      </c>
      <c r="BF273" s="527">
        <f>IF(ISNA(VLOOKUP($N273,Veg_Parameters!$A$3:$N$65,4,FALSE)),0,(VLOOKUP($N273,Veg_Parameters!$A$3:$N$65,4,FALSE)))</f>
        <v>0</v>
      </c>
      <c r="BG273" s="527">
        <f>AH273*(IF(ISNA(VLOOKUP($N273,Veg_Parameters!$A$3:$N$65,7,FALSE)),0, (VLOOKUP($N273,Veg_Parameters!$A$3:$N$65,7,FALSE))))</f>
        <v>0</v>
      </c>
      <c r="BH273" s="527">
        <f>IF(ISNA(VLOOKUP($N273,Veg_Parameters!$A$3:$N$65,6,FALSE)), 0, (VLOOKUP($N273,Veg_Parameters!$A$3:$N$65,6,FALSE)))</f>
        <v>0</v>
      </c>
      <c r="BI273" s="529">
        <f t="shared" si="378"/>
        <v>20</v>
      </c>
      <c r="BJ273" s="529">
        <f t="shared" si="398"/>
        <v>0</v>
      </c>
      <c r="BK273" s="529">
        <f t="shared" si="379"/>
        <v>0</v>
      </c>
      <c r="BL273" s="530">
        <f t="shared" si="399"/>
        <v>0</v>
      </c>
      <c r="BM273" s="527" t="s">
        <v>3</v>
      </c>
      <c r="BN273" s="527">
        <f>IF(ISNA(VLOOKUP(N273,Veg_Parameters!$A$3:$N$65,8,FALSE)), 0, (VLOOKUP($N273,Veg_Parameters!$A$3:$N$65,8,FALSE)))</f>
        <v>0</v>
      </c>
      <c r="BO273" s="527">
        <f>AH273*(IF(ISNA(VLOOKUP($N273,Veg_Parameters!$A$3:$N$65,9,FALSE)), 0, (VLOOKUP($N273,Veg_Parameters!$A$3:$N$65,9,FALSE))))</f>
        <v>0</v>
      </c>
      <c r="BP273" s="527" t="str">
        <f>IF(ISBLANK(N273),"0",VLOOKUP($N273,Veg_Parameters!$A$4:$U$65,21,))</f>
        <v>0</v>
      </c>
      <c r="BQ273" s="529">
        <f t="shared" si="400"/>
        <v>0</v>
      </c>
      <c r="BR273" s="529">
        <f t="shared" si="401"/>
        <v>0</v>
      </c>
      <c r="BS273" s="529">
        <f t="shared" si="380"/>
        <v>0</v>
      </c>
      <c r="BT273" s="529">
        <f t="shared" si="402"/>
        <v>0</v>
      </c>
      <c r="BU273" s="529">
        <f t="shared" si="403"/>
        <v>0</v>
      </c>
      <c r="BV273" s="529">
        <f t="shared" si="404"/>
        <v>0</v>
      </c>
      <c r="BW273" s="532" t="str">
        <f t="shared" si="381"/>
        <v/>
      </c>
      <c r="BX273" s="532" t="str">
        <f t="shared" si="382"/>
        <v/>
      </c>
      <c r="BY273" s="532" t="str">
        <f t="shared" si="383"/>
        <v/>
      </c>
      <c r="BZ273" s="532" t="str">
        <f t="shared" si="384"/>
        <v/>
      </c>
      <c r="CA273" s="532">
        <f t="shared" si="385"/>
        <v>0</v>
      </c>
      <c r="CB273" s="533"/>
      <c r="CC273" s="624">
        <f t="shared" si="386"/>
        <v>0</v>
      </c>
      <c r="CD273" s="534">
        <f t="shared" si="387"/>
        <v>0</v>
      </c>
      <c r="CE273" s="534">
        <f t="shared" si="388"/>
        <v>0</v>
      </c>
      <c r="CF273" s="534">
        <f t="shared" si="389"/>
        <v>0</v>
      </c>
      <c r="CG273" s="534"/>
      <c r="CH273" s="534"/>
      <c r="CI273" s="534">
        <f t="shared" si="405"/>
        <v>0</v>
      </c>
      <c r="CL273" s="534">
        <f>IF(ISNA(VLOOKUP(I273,Veg_Parameters!$A$3:$N$65,13,FALSE)),0,(VLOOKUP(I273,Veg_Parameters!$A$3:$N$65,13,FALSE)))</f>
        <v>0</v>
      </c>
      <c r="CM273" s="534">
        <f t="shared" si="406"/>
        <v>0</v>
      </c>
      <c r="CN273" s="534">
        <f>IF(ISNA(VLOOKUP(N273,Veg_Parameters!$A$3:$N$65,13,FALSE)),0,(VLOOKUP(N273,Veg_Parameters!$A$3:$N$65,13,FALSE)))</f>
        <v>0</v>
      </c>
      <c r="CO273" s="523">
        <f t="shared" si="407"/>
        <v>0</v>
      </c>
    </row>
    <row r="274" spans="1:93" x14ac:dyDescent="0.2">
      <c r="A274" s="227"/>
      <c r="B274" s="171" t="str">
        <f t="shared" si="408"/>
        <v/>
      </c>
      <c r="C274" s="230"/>
      <c r="D274" s="169"/>
      <c r="E274" s="165"/>
      <c r="F274" s="165"/>
      <c r="G274" s="165"/>
      <c r="H274" s="165"/>
      <c r="I274" s="168"/>
      <c r="J274" s="167"/>
      <c r="K274" s="168"/>
      <c r="L274" s="167"/>
      <c r="M274" s="167"/>
      <c r="N274" s="168"/>
      <c r="O274" s="168"/>
      <c r="P274" s="167"/>
      <c r="Q274" s="167"/>
      <c r="R274" s="167"/>
      <c r="S274" s="222" t="str">
        <f>IF(ISBLANK(A274),"",IF(ISNA(VLOOKUP(I274,Veg_Parameters!$A$3:$N$65,3,FALSE)),0,(VLOOKUP(I274,Veg_Parameters!$A$3:$N$65,3,FALSE))))</f>
        <v/>
      </c>
      <c r="T274" s="222" t="str">
        <f>IF(ISBLANK(N274),"",IF(ISNA(VLOOKUP(N274,Veg_Parameters!$A$3:$N$65,3,FALSE)),0,(VLOOKUP(N274,Veg_Parameters!$A$3:$N$65,3,FALSE))))</f>
        <v/>
      </c>
      <c r="U274" s="523">
        <f t="shared" si="390"/>
        <v>0</v>
      </c>
      <c r="V274" s="523">
        <f t="shared" si="366"/>
        <v>0</v>
      </c>
      <c r="W274" s="524">
        <f>IF(ISBLANK(A274),0,IF(ISNA(VLOOKUP($I274,Veg_Parameters!$A$3:$N$65,10,FALSE)),0,(VLOOKUP($I274,Veg_Parameters!$A$3:$N$65,10,FALSE))))</f>
        <v>0</v>
      </c>
      <c r="X274" s="524">
        <f>IF(ISBLANK(A274),0,IF(ISNA(VLOOKUP($I274,Veg_Parameters!$A$3:$N$65,11,FALSE)),0,(VLOOKUP($I274,Veg_Parameters!$A$3:$N$65,11,FALSE))))</f>
        <v>0</v>
      </c>
      <c r="Y274" s="524">
        <f>IF(ISBLANK(A274),0,IF(ISNA(VLOOKUP($I274,Veg_Parameters!$A$3:$N$65,12,FALSE)),0,(VLOOKUP($I274,Veg_Parameters!$A$3:$N$65,12,FALSE))))</f>
        <v>0</v>
      </c>
      <c r="Z274" s="525">
        <f t="shared" si="367"/>
        <v>0</v>
      </c>
      <c r="AA274" s="525">
        <f t="shared" si="368"/>
        <v>0</v>
      </c>
      <c r="AB274" s="525">
        <f t="shared" si="369"/>
        <v>0</v>
      </c>
      <c r="AC274" s="524">
        <f>IF(ISBLANK(N274),0,IF(ISNA(VLOOKUP($N274,Veg_Parameters!$A$3:$N$65,10,FALSE)),0,(VLOOKUP($N274,Veg_Parameters!$A$3:$N$65,10,FALSE))))</f>
        <v>0</v>
      </c>
      <c r="AD274" s="524">
        <f>IF(ISBLANK(N274),0,IF(ISNA(VLOOKUP($N274,Veg_Parameters!$A$3:$N$65,11,FALSE)),0,(VLOOKUP($N274,Veg_Parameters!$A$3:$N$65,11,FALSE))))</f>
        <v>0</v>
      </c>
      <c r="AE274" s="524">
        <f>IF(ISBLANK(N274), 0, IF(ISNA(VLOOKUP($N274,Veg_Parameters!$A$3:$N$65,12,FALSE)),0,(VLOOKUP($N274,Veg_Parameters!$A$3:$N$65,12,FALSE))))</f>
        <v>0</v>
      </c>
      <c r="AF274" s="523">
        <f t="shared" si="370"/>
        <v>0</v>
      </c>
      <c r="AG274" s="523">
        <f t="shared" si="371"/>
        <v>0</v>
      </c>
      <c r="AH274" s="523">
        <f t="shared" si="372"/>
        <v>0</v>
      </c>
      <c r="AI274" s="526"/>
      <c r="AJ274" s="527">
        <f>AB274*(IF(ISNA(VLOOKUP($I274,Veg_Parameters!$A$3:$N$65,5,FALSE)),0,(VLOOKUP($I274,Veg_Parameters!$A$3:$N$65,5,FALSE))))</f>
        <v>0</v>
      </c>
      <c r="AK274" s="527">
        <f>IF(ISNA(VLOOKUP($I274,Veg_Parameters!$A$3:$N$65,4,FALSE)),0,(VLOOKUP($I274,Veg_Parameters!$A$3:$N$65,4,FALSE)))</f>
        <v>0</v>
      </c>
      <c r="AL274" s="527">
        <f>AB274*(IF(ISNA(VLOOKUP($I274,Veg_Parameters!$A$3:$N$65,7,FALSE)),0, (VLOOKUP($I274,Veg_Parameters!$A$3:$N$65,7,FALSE))))</f>
        <v>0</v>
      </c>
      <c r="AM274" s="528">
        <f>IF(ISNA(VLOOKUP($I274,Veg_Parameters!$A$3:$N$65,6,FALSE)), 0, (VLOOKUP($I274,Veg_Parameters!$A$3:$N$65,6,FALSE)))</f>
        <v>0</v>
      </c>
      <c r="AN274" s="529">
        <f t="shared" si="373"/>
        <v>20</v>
      </c>
      <c r="AO274" s="529">
        <f t="shared" si="374"/>
        <v>0</v>
      </c>
      <c r="AP274" s="529">
        <f t="shared" si="375"/>
        <v>0</v>
      </c>
      <c r="AQ274" s="530">
        <f t="shared" si="391"/>
        <v>0</v>
      </c>
      <c r="AR274" s="527" t="s">
        <v>3</v>
      </c>
      <c r="AS274" s="527">
        <f>IF(ISNA(VLOOKUP($I274,Veg_Parameters!$A$3:$N$65,8,FALSE)), 0, (VLOOKUP($I274,Veg_Parameters!$A$3:$N$65,8,FALSE)))</f>
        <v>0</v>
      </c>
      <c r="AT274" s="527">
        <f>AB274*(IF(ISNA(VLOOKUP($I274,Veg_Parameters!$A$3:$N$65,9,FALSE)), 0, (VLOOKUP($I274,Veg_Parameters!$A$3:$N$65,9,FALSE))))</f>
        <v>0</v>
      </c>
      <c r="AU274" s="527">
        <f>IF(ISBLANK(A274),0,VLOOKUP($I274,Veg_Parameters!$A$4:$U$65,21,))</f>
        <v>0</v>
      </c>
      <c r="AV274" s="527">
        <f t="shared" si="392"/>
        <v>0</v>
      </c>
      <c r="AW274" s="529">
        <f t="shared" si="393"/>
        <v>0</v>
      </c>
      <c r="AX274" s="529">
        <f t="shared" si="394"/>
        <v>0</v>
      </c>
      <c r="AY274" s="529">
        <f t="shared" si="376"/>
        <v>0</v>
      </c>
      <c r="AZ274" s="529">
        <f t="shared" si="395"/>
        <v>0</v>
      </c>
      <c r="BA274" s="529">
        <f t="shared" si="396"/>
        <v>0</v>
      </c>
      <c r="BB274" s="529">
        <f t="shared" si="397"/>
        <v>0</v>
      </c>
      <c r="BC274" s="529">
        <f t="shared" si="377"/>
        <v>0</v>
      </c>
      <c r="BD274" s="531"/>
      <c r="BE274" s="527">
        <f>AH274*(IF(ISNA(VLOOKUP($N274,Veg_Parameters!$A$3:$N$65,5,FALSE)),0,(VLOOKUP($N274,Veg_Parameters!$A$3:$N$65,5,FALSE))))</f>
        <v>0</v>
      </c>
      <c r="BF274" s="527">
        <f>IF(ISNA(VLOOKUP($N274,Veg_Parameters!$A$3:$N$65,4,FALSE)),0,(VLOOKUP($N274,Veg_Parameters!$A$3:$N$65,4,FALSE)))</f>
        <v>0</v>
      </c>
      <c r="BG274" s="527">
        <f>AH274*(IF(ISNA(VLOOKUP($N274,Veg_Parameters!$A$3:$N$65,7,FALSE)),0, (VLOOKUP($N274,Veg_Parameters!$A$3:$N$65,7,FALSE))))</f>
        <v>0</v>
      </c>
      <c r="BH274" s="527">
        <f>IF(ISNA(VLOOKUP($N274,Veg_Parameters!$A$3:$N$65,6,FALSE)), 0, (VLOOKUP($N274,Veg_Parameters!$A$3:$N$65,6,FALSE)))</f>
        <v>0</v>
      </c>
      <c r="BI274" s="529">
        <f t="shared" si="378"/>
        <v>20</v>
      </c>
      <c r="BJ274" s="529">
        <f t="shared" si="398"/>
        <v>0</v>
      </c>
      <c r="BK274" s="529">
        <f t="shared" si="379"/>
        <v>0</v>
      </c>
      <c r="BL274" s="530">
        <f t="shared" si="399"/>
        <v>0</v>
      </c>
      <c r="BM274" s="527" t="s">
        <v>3</v>
      </c>
      <c r="BN274" s="527">
        <f>IF(ISNA(VLOOKUP(N274,Veg_Parameters!$A$3:$N$65,8,FALSE)), 0, (VLOOKUP($N274,Veg_Parameters!$A$3:$N$65,8,FALSE)))</f>
        <v>0</v>
      </c>
      <c r="BO274" s="527">
        <f>AH274*(IF(ISNA(VLOOKUP($N274,Veg_Parameters!$A$3:$N$65,9,FALSE)), 0, (VLOOKUP($N274,Veg_Parameters!$A$3:$N$65,9,FALSE))))</f>
        <v>0</v>
      </c>
      <c r="BP274" s="527" t="str">
        <f>IF(ISBLANK(N274),"0",VLOOKUP($N274,Veg_Parameters!$A$4:$U$65,21,))</f>
        <v>0</v>
      </c>
      <c r="BQ274" s="529">
        <f t="shared" si="400"/>
        <v>0</v>
      </c>
      <c r="BR274" s="529">
        <f t="shared" si="401"/>
        <v>0</v>
      </c>
      <c r="BS274" s="529">
        <f t="shared" si="380"/>
        <v>0</v>
      </c>
      <c r="BT274" s="529">
        <f t="shared" si="402"/>
        <v>0</v>
      </c>
      <c r="BU274" s="529">
        <f t="shared" si="403"/>
        <v>0</v>
      </c>
      <c r="BV274" s="529">
        <f t="shared" si="404"/>
        <v>0</v>
      </c>
      <c r="BW274" s="532" t="str">
        <f t="shared" si="381"/>
        <v/>
      </c>
      <c r="BX274" s="532" t="str">
        <f t="shared" si="382"/>
        <v/>
      </c>
      <c r="BY274" s="532" t="str">
        <f t="shared" si="383"/>
        <v/>
      </c>
      <c r="BZ274" s="532" t="str">
        <f t="shared" si="384"/>
        <v/>
      </c>
      <c r="CA274" s="532">
        <f t="shared" si="385"/>
        <v>0</v>
      </c>
      <c r="CB274" s="533"/>
      <c r="CC274" s="624">
        <f t="shared" si="386"/>
        <v>0</v>
      </c>
      <c r="CD274" s="534">
        <f t="shared" si="387"/>
        <v>0</v>
      </c>
      <c r="CE274" s="534">
        <f t="shared" si="388"/>
        <v>0</v>
      </c>
      <c r="CF274" s="534">
        <f t="shared" si="389"/>
        <v>0</v>
      </c>
      <c r="CG274" s="534"/>
      <c r="CH274" s="534"/>
      <c r="CI274" s="534">
        <f t="shared" si="405"/>
        <v>0</v>
      </c>
      <c r="CL274" s="534">
        <f>IF(ISNA(VLOOKUP(I274,Veg_Parameters!$A$3:$N$65,13,FALSE)),0,(VLOOKUP(I274,Veg_Parameters!$A$3:$N$65,13,FALSE)))</f>
        <v>0</v>
      </c>
      <c r="CM274" s="534">
        <f t="shared" si="406"/>
        <v>0</v>
      </c>
      <c r="CN274" s="534">
        <f>IF(ISNA(VLOOKUP(N274,Veg_Parameters!$A$3:$N$65,13,FALSE)),0,(VLOOKUP(N274,Veg_Parameters!$A$3:$N$65,13,FALSE)))</f>
        <v>0</v>
      </c>
      <c r="CO274" s="523">
        <f t="shared" si="407"/>
        <v>0</v>
      </c>
    </row>
    <row r="275" spans="1:93" x14ac:dyDescent="0.2">
      <c r="A275" s="227"/>
      <c r="B275" s="171" t="str">
        <f t="shared" si="408"/>
        <v/>
      </c>
      <c r="C275" s="230"/>
      <c r="D275" s="169"/>
      <c r="E275" s="165"/>
      <c r="F275" s="165"/>
      <c r="G275" s="165"/>
      <c r="H275" s="165"/>
      <c r="I275" s="168"/>
      <c r="J275" s="167"/>
      <c r="K275" s="168"/>
      <c r="L275" s="167"/>
      <c r="M275" s="167"/>
      <c r="N275" s="168"/>
      <c r="O275" s="168"/>
      <c r="P275" s="167"/>
      <c r="Q275" s="167"/>
      <c r="R275" s="167"/>
      <c r="S275" s="222" t="str">
        <f>IF(ISBLANK(A275),"",IF(ISNA(VLOOKUP(I275,Veg_Parameters!$A$3:$N$65,3,FALSE)),0,(VLOOKUP(I275,Veg_Parameters!$A$3:$N$65,3,FALSE))))</f>
        <v/>
      </c>
      <c r="T275" s="222" t="str">
        <f>IF(ISBLANK(N275),"",IF(ISNA(VLOOKUP(N275,Veg_Parameters!$A$3:$N$65,3,FALSE)),0,(VLOOKUP(N275,Veg_Parameters!$A$3:$N$65,3,FALSE))))</f>
        <v/>
      </c>
      <c r="U275" s="523">
        <f t="shared" si="390"/>
        <v>0</v>
      </c>
      <c r="V275" s="523">
        <f t="shared" si="366"/>
        <v>0</v>
      </c>
      <c r="W275" s="524">
        <f>IF(ISBLANK(A275),0,IF(ISNA(VLOOKUP($I275,Veg_Parameters!$A$3:$N$65,10,FALSE)),0,(VLOOKUP($I275,Veg_Parameters!$A$3:$N$65,10,FALSE))))</f>
        <v>0</v>
      </c>
      <c r="X275" s="524">
        <f>IF(ISBLANK(A275),0,IF(ISNA(VLOOKUP($I275,Veg_Parameters!$A$3:$N$65,11,FALSE)),0,(VLOOKUP($I275,Veg_Parameters!$A$3:$N$65,11,FALSE))))</f>
        <v>0</v>
      </c>
      <c r="Y275" s="524">
        <f>IF(ISBLANK(A275),0,IF(ISNA(VLOOKUP($I275,Veg_Parameters!$A$3:$N$65,12,FALSE)),0,(VLOOKUP($I275,Veg_Parameters!$A$3:$N$65,12,FALSE))))</f>
        <v>0</v>
      </c>
      <c r="Z275" s="525">
        <f t="shared" si="367"/>
        <v>0</v>
      </c>
      <c r="AA275" s="525">
        <f t="shared" si="368"/>
        <v>0</v>
      </c>
      <c r="AB275" s="525">
        <f t="shared" si="369"/>
        <v>0</v>
      </c>
      <c r="AC275" s="524">
        <f>IF(ISBLANK(N275),0,IF(ISNA(VLOOKUP($N275,Veg_Parameters!$A$3:$N$65,10,FALSE)),0,(VLOOKUP($N275,Veg_Parameters!$A$3:$N$65,10,FALSE))))</f>
        <v>0</v>
      </c>
      <c r="AD275" s="524">
        <f>IF(ISBLANK(N275),0,IF(ISNA(VLOOKUP($N275,Veg_Parameters!$A$3:$N$65,11,FALSE)),0,(VLOOKUP($N275,Veg_Parameters!$A$3:$N$65,11,FALSE))))</f>
        <v>0</v>
      </c>
      <c r="AE275" s="524">
        <f>IF(ISBLANK(N275), 0, IF(ISNA(VLOOKUP($N275,Veg_Parameters!$A$3:$N$65,12,FALSE)),0,(VLOOKUP($N275,Veg_Parameters!$A$3:$N$65,12,FALSE))))</f>
        <v>0</v>
      </c>
      <c r="AF275" s="523">
        <f t="shared" si="370"/>
        <v>0</v>
      </c>
      <c r="AG275" s="523">
        <f t="shared" si="371"/>
        <v>0</v>
      </c>
      <c r="AH275" s="523">
        <f t="shared" si="372"/>
        <v>0</v>
      </c>
      <c r="AI275" s="526"/>
      <c r="AJ275" s="527">
        <f>AB275*(IF(ISNA(VLOOKUP($I275,Veg_Parameters!$A$3:$N$65,5,FALSE)),0,(VLOOKUP($I275,Veg_Parameters!$A$3:$N$65,5,FALSE))))</f>
        <v>0</v>
      </c>
      <c r="AK275" s="527">
        <f>IF(ISNA(VLOOKUP($I275,Veg_Parameters!$A$3:$N$65,4,FALSE)),0,(VLOOKUP($I275,Veg_Parameters!$A$3:$N$65,4,FALSE)))</f>
        <v>0</v>
      </c>
      <c r="AL275" s="527">
        <f>AB275*(IF(ISNA(VLOOKUP($I275,Veg_Parameters!$A$3:$N$65,7,FALSE)),0, (VLOOKUP($I275,Veg_Parameters!$A$3:$N$65,7,FALSE))))</f>
        <v>0</v>
      </c>
      <c r="AM275" s="528">
        <f>IF(ISNA(VLOOKUP($I275,Veg_Parameters!$A$3:$N$65,6,FALSE)), 0, (VLOOKUP($I275,Veg_Parameters!$A$3:$N$65,6,FALSE)))</f>
        <v>0</v>
      </c>
      <c r="AN275" s="529">
        <f t="shared" si="373"/>
        <v>20</v>
      </c>
      <c r="AO275" s="529">
        <f t="shared" si="374"/>
        <v>0</v>
      </c>
      <c r="AP275" s="529">
        <f t="shared" si="375"/>
        <v>0</v>
      </c>
      <c r="AQ275" s="530">
        <f t="shared" si="391"/>
        <v>0</v>
      </c>
      <c r="AR275" s="527" t="s">
        <v>3</v>
      </c>
      <c r="AS275" s="527">
        <f>IF(ISNA(VLOOKUP($I275,Veg_Parameters!$A$3:$N$65,8,FALSE)), 0, (VLOOKUP($I275,Veg_Parameters!$A$3:$N$65,8,FALSE)))</f>
        <v>0</v>
      </c>
      <c r="AT275" s="527">
        <f>AB275*(IF(ISNA(VLOOKUP($I275,Veg_Parameters!$A$3:$N$65,9,FALSE)), 0, (VLOOKUP($I275,Veg_Parameters!$A$3:$N$65,9,FALSE))))</f>
        <v>0</v>
      </c>
      <c r="AU275" s="527">
        <f>IF(ISBLANK(A275),0,VLOOKUP($I275,Veg_Parameters!$A$4:$U$65,21,))</f>
        <v>0</v>
      </c>
      <c r="AV275" s="527">
        <f t="shared" si="392"/>
        <v>0</v>
      </c>
      <c r="AW275" s="529">
        <f t="shared" si="393"/>
        <v>0</v>
      </c>
      <c r="AX275" s="529">
        <f t="shared" si="394"/>
        <v>0</v>
      </c>
      <c r="AY275" s="529">
        <f t="shared" si="376"/>
        <v>0</v>
      </c>
      <c r="AZ275" s="529">
        <f t="shared" si="395"/>
        <v>0</v>
      </c>
      <c r="BA275" s="529">
        <f t="shared" si="396"/>
        <v>0</v>
      </c>
      <c r="BB275" s="529">
        <f t="shared" si="397"/>
        <v>0</v>
      </c>
      <c r="BC275" s="529">
        <f t="shared" si="377"/>
        <v>0</v>
      </c>
      <c r="BD275" s="531"/>
      <c r="BE275" s="527">
        <f>AH275*(IF(ISNA(VLOOKUP($N275,Veg_Parameters!$A$3:$N$65,5,FALSE)),0,(VLOOKUP($N275,Veg_Parameters!$A$3:$N$65,5,FALSE))))</f>
        <v>0</v>
      </c>
      <c r="BF275" s="527">
        <f>IF(ISNA(VLOOKUP($N275,Veg_Parameters!$A$3:$N$65,4,FALSE)),0,(VLOOKUP($N275,Veg_Parameters!$A$3:$N$65,4,FALSE)))</f>
        <v>0</v>
      </c>
      <c r="BG275" s="527">
        <f>AH275*(IF(ISNA(VLOOKUP($N275,Veg_Parameters!$A$3:$N$65,7,FALSE)),0, (VLOOKUP($N275,Veg_Parameters!$A$3:$N$65,7,FALSE))))</f>
        <v>0</v>
      </c>
      <c r="BH275" s="527">
        <f>IF(ISNA(VLOOKUP($N275,Veg_Parameters!$A$3:$N$65,6,FALSE)), 0, (VLOOKUP($N275,Veg_Parameters!$A$3:$N$65,6,FALSE)))</f>
        <v>0</v>
      </c>
      <c r="BI275" s="529">
        <f t="shared" si="378"/>
        <v>20</v>
      </c>
      <c r="BJ275" s="529">
        <f t="shared" si="398"/>
        <v>0</v>
      </c>
      <c r="BK275" s="529">
        <f t="shared" si="379"/>
        <v>0</v>
      </c>
      <c r="BL275" s="530">
        <f t="shared" si="399"/>
        <v>0</v>
      </c>
      <c r="BM275" s="527" t="s">
        <v>3</v>
      </c>
      <c r="BN275" s="527">
        <f>IF(ISNA(VLOOKUP(N275,Veg_Parameters!$A$3:$N$65,8,FALSE)), 0, (VLOOKUP($N275,Veg_Parameters!$A$3:$N$65,8,FALSE)))</f>
        <v>0</v>
      </c>
      <c r="BO275" s="527">
        <f>AH275*(IF(ISNA(VLOOKUP($N275,Veg_Parameters!$A$3:$N$65,9,FALSE)), 0, (VLOOKUP($N275,Veg_Parameters!$A$3:$N$65,9,FALSE))))</f>
        <v>0</v>
      </c>
      <c r="BP275" s="527" t="str">
        <f>IF(ISBLANK(N275),"0",VLOOKUP($N275,Veg_Parameters!$A$4:$U$65,21,))</f>
        <v>0</v>
      </c>
      <c r="BQ275" s="529">
        <f t="shared" si="400"/>
        <v>0</v>
      </c>
      <c r="BR275" s="529">
        <f t="shared" si="401"/>
        <v>0</v>
      </c>
      <c r="BS275" s="529">
        <f t="shared" si="380"/>
        <v>0</v>
      </c>
      <c r="BT275" s="529">
        <f t="shared" si="402"/>
        <v>0</v>
      </c>
      <c r="BU275" s="529">
        <f t="shared" si="403"/>
        <v>0</v>
      </c>
      <c r="BV275" s="529">
        <f t="shared" si="404"/>
        <v>0</v>
      </c>
      <c r="BW275" s="532" t="str">
        <f t="shared" si="381"/>
        <v/>
      </c>
      <c r="BX275" s="532" t="str">
        <f t="shared" si="382"/>
        <v/>
      </c>
      <c r="BY275" s="532" t="str">
        <f t="shared" si="383"/>
        <v/>
      </c>
      <c r="BZ275" s="532" t="str">
        <f t="shared" si="384"/>
        <v/>
      </c>
      <c r="CA275" s="532">
        <f t="shared" si="385"/>
        <v>0</v>
      </c>
      <c r="CB275" s="533"/>
      <c r="CC275" s="624">
        <f t="shared" si="386"/>
        <v>0</v>
      </c>
      <c r="CD275" s="534">
        <f t="shared" si="387"/>
        <v>0</v>
      </c>
      <c r="CE275" s="534">
        <f t="shared" si="388"/>
        <v>0</v>
      </c>
      <c r="CF275" s="534">
        <f t="shared" si="389"/>
        <v>0</v>
      </c>
      <c r="CG275" s="534"/>
      <c r="CH275" s="534"/>
      <c r="CI275" s="534">
        <f t="shared" si="405"/>
        <v>0</v>
      </c>
      <c r="CL275" s="534">
        <f>IF(ISNA(VLOOKUP(I275,Veg_Parameters!$A$3:$N$65,13,FALSE)),0,(VLOOKUP(I275,Veg_Parameters!$A$3:$N$65,13,FALSE)))</f>
        <v>0</v>
      </c>
      <c r="CM275" s="534">
        <f t="shared" si="406"/>
        <v>0</v>
      </c>
      <c r="CN275" s="534">
        <f>IF(ISNA(VLOOKUP(N275,Veg_Parameters!$A$3:$N$65,13,FALSE)),0,(VLOOKUP(N275,Veg_Parameters!$A$3:$N$65,13,FALSE)))</f>
        <v>0</v>
      </c>
      <c r="CO275" s="523">
        <f t="shared" si="407"/>
        <v>0</v>
      </c>
    </row>
    <row r="276" spans="1:93" x14ac:dyDescent="0.2">
      <c r="A276" s="227"/>
      <c r="B276" s="171" t="str">
        <f t="shared" si="408"/>
        <v/>
      </c>
      <c r="C276" s="230"/>
      <c r="D276" s="169"/>
      <c r="E276" s="165"/>
      <c r="F276" s="165"/>
      <c r="G276" s="165"/>
      <c r="H276" s="165"/>
      <c r="I276" s="168"/>
      <c r="J276" s="167"/>
      <c r="K276" s="168"/>
      <c r="L276" s="167"/>
      <c r="M276" s="167"/>
      <c r="N276" s="168"/>
      <c r="O276" s="168"/>
      <c r="P276" s="167"/>
      <c r="Q276" s="167"/>
      <c r="R276" s="167"/>
      <c r="S276" s="222" t="str">
        <f>IF(ISBLANK(A276),"",IF(ISNA(VLOOKUP(I276,Veg_Parameters!$A$3:$N$65,3,FALSE)),0,(VLOOKUP(I276,Veg_Parameters!$A$3:$N$65,3,FALSE))))</f>
        <v/>
      </c>
      <c r="T276" s="222" t="str">
        <f>IF(ISBLANK(N276),"",IF(ISNA(VLOOKUP(N276,Veg_Parameters!$A$3:$N$65,3,FALSE)),0,(VLOOKUP(N276,Veg_Parameters!$A$3:$N$65,3,FALSE))))</f>
        <v/>
      </c>
      <c r="U276" s="523">
        <f t="shared" si="390"/>
        <v>0</v>
      </c>
      <c r="V276" s="523">
        <f t="shared" si="366"/>
        <v>0</v>
      </c>
      <c r="W276" s="524">
        <f>IF(ISBLANK(A276),0,IF(ISNA(VLOOKUP($I276,Veg_Parameters!$A$3:$N$65,10,FALSE)),0,(VLOOKUP($I276,Veg_Parameters!$A$3:$N$65,10,FALSE))))</f>
        <v>0</v>
      </c>
      <c r="X276" s="524">
        <f>IF(ISBLANK(A276),0,IF(ISNA(VLOOKUP($I276,Veg_Parameters!$A$3:$N$65,11,FALSE)),0,(VLOOKUP($I276,Veg_Parameters!$A$3:$N$65,11,FALSE))))</f>
        <v>0</v>
      </c>
      <c r="Y276" s="524">
        <f>IF(ISBLANK(A276),0,IF(ISNA(VLOOKUP($I276,Veg_Parameters!$A$3:$N$65,12,FALSE)),0,(VLOOKUP($I276,Veg_Parameters!$A$3:$N$65,12,FALSE))))</f>
        <v>0</v>
      </c>
      <c r="Z276" s="525">
        <f t="shared" si="367"/>
        <v>0</v>
      </c>
      <c r="AA276" s="525">
        <f t="shared" si="368"/>
        <v>0</v>
      </c>
      <c r="AB276" s="525">
        <f t="shared" si="369"/>
        <v>0</v>
      </c>
      <c r="AC276" s="524">
        <f>IF(ISBLANK(N276),0,IF(ISNA(VLOOKUP($N276,Veg_Parameters!$A$3:$N$65,10,FALSE)),0,(VLOOKUP($N276,Veg_Parameters!$A$3:$N$65,10,FALSE))))</f>
        <v>0</v>
      </c>
      <c r="AD276" s="524">
        <f>IF(ISBLANK(N276),0,IF(ISNA(VLOOKUP($N276,Veg_Parameters!$A$3:$N$65,11,FALSE)),0,(VLOOKUP($N276,Veg_Parameters!$A$3:$N$65,11,FALSE))))</f>
        <v>0</v>
      </c>
      <c r="AE276" s="524">
        <f>IF(ISBLANK(N276), 0, IF(ISNA(VLOOKUP($N276,Veg_Parameters!$A$3:$N$65,12,FALSE)),0,(VLOOKUP($N276,Veg_Parameters!$A$3:$N$65,12,FALSE))))</f>
        <v>0</v>
      </c>
      <c r="AF276" s="523">
        <f t="shared" si="370"/>
        <v>0</v>
      </c>
      <c r="AG276" s="523">
        <f t="shared" si="371"/>
        <v>0</v>
      </c>
      <c r="AH276" s="523">
        <f t="shared" si="372"/>
        <v>0</v>
      </c>
      <c r="AI276" s="526"/>
      <c r="AJ276" s="527">
        <f>AB276*(IF(ISNA(VLOOKUP($I276,Veg_Parameters!$A$3:$N$65,5,FALSE)),0,(VLOOKUP($I276,Veg_Parameters!$A$3:$N$65,5,FALSE))))</f>
        <v>0</v>
      </c>
      <c r="AK276" s="527">
        <f>IF(ISNA(VLOOKUP($I276,Veg_Parameters!$A$3:$N$65,4,FALSE)),0,(VLOOKUP($I276,Veg_Parameters!$A$3:$N$65,4,FALSE)))</f>
        <v>0</v>
      </c>
      <c r="AL276" s="527">
        <f>AB276*(IF(ISNA(VLOOKUP($I276,Veg_Parameters!$A$3:$N$65,7,FALSE)),0, (VLOOKUP($I276,Veg_Parameters!$A$3:$N$65,7,FALSE))))</f>
        <v>0</v>
      </c>
      <c r="AM276" s="528">
        <f>IF(ISNA(VLOOKUP($I276,Veg_Parameters!$A$3:$N$65,6,FALSE)), 0, (VLOOKUP($I276,Veg_Parameters!$A$3:$N$65,6,FALSE)))</f>
        <v>0</v>
      </c>
      <c r="AN276" s="529">
        <f t="shared" si="373"/>
        <v>20</v>
      </c>
      <c r="AO276" s="529">
        <f t="shared" si="374"/>
        <v>0</v>
      </c>
      <c r="AP276" s="529">
        <f t="shared" si="375"/>
        <v>0</v>
      </c>
      <c r="AQ276" s="530">
        <f t="shared" si="391"/>
        <v>0</v>
      </c>
      <c r="AR276" s="527" t="s">
        <v>3</v>
      </c>
      <c r="AS276" s="527">
        <f>IF(ISNA(VLOOKUP($I276,Veg_Parameters!$A$3:$N$65,8,FALSE)), 0, (VLOOKUP($I276,Veg_Parameters!$A$3:$N$65,8,FALSE)))</f>
        <v>0</v>
      </c>
      <c r="AT276" s="527">
        <f>AB276*(IF(ISNA(VLOOKUP($I276,Veg_Parameters!$A$3:$N$65,9,FALSE)), 0, (VLOOKUP($I276,Veg_Parameters!$A$3:$N$65,9,FALSE))))</f>
        <v>0</v>
      </c>
      <c r="AU276" s="527">
        <f>IF(ISBLANK(A276),0,VLOOKUP($I276,Veg_Parameters!$A$4:$U$65,21,))</f>
        <v>0</v>
      </c>
      <c r="AV276" s="527">
        <f t="shared" si="392"/>
        <v>0</v>
      </c>
      <c r="AW276" s="529">
        <f t="shared" si="393"/>
        <v>0</v>
      </c>
      <c r="AX276" s="529">
        <f t="shared" si="394"/>
        <v>0</v>
      </c>
      <c r="AY276" s="529">
        <f t="shared" si="376"/>
        <v>0</v>
      </c>
      <c r="AZ276" s="529">
        <f t="shared" si="395"/>
        <v>0</v>
      </c>
      <c r="BA276" s="529">
        <f t="shared" si="396"/>
        <v>0</v>
      </c>
      <c r="BB276" s="529">
        <f t="shared" si="397"/>
        <v>0</v>
      </c>
      <c r="BC276" s="529">
        <f t="shared" si="377"/>
        <v>0</v>
      </c>
      <c r="BD276" s="531"/>
      <c r="BE276" s="527">
        <f>AH276*(IF(ISNA(VLOOKUP($N276,Veg_Parameters!$A$3:$N$65,5,FALSE)),0,(VLOOKUP($N276,Veg_Parameters!$A$3:$N$65,5,FALSE))))</f>
        <v>0</v>
      </c>
      <c r="BF276" s="527">
        <f>IF(ISNA(VLOOKUP($N276,Veg_Parameters!$A$3:$N$65,4,FALSE)),0,(VLOOKUP($N276,Veg_Parameters!$A$3:$N$65,4,FALSE)))</f>
        <v>0</v>
      </c>
      <c r="BG276" s="527">
        <f>AH276*(IF(ISNA(VLOOKUP($N276,Veg_Parameters!$A$3:$N$65,7,FALSE)),0, (VLOOKUP($N276,Veg_Parameters!$A$3:$N$65,7,FALSE))))</f>
        <v>0</v>
      </c>
      <c r="BH276" s="527">
        <f>IF(ISNA(VLOOKUP($N276,Veg_Parameters!$A$3:$N$65,6,FALSE)), 0, (VLOOKUP($N276,Veg_Parameters!$A$3:$N$65,6,FALSE)))</f>
        <v>0</v>
      </c>
      <c r="BI276" s="529">
        <f t="shared" si="378"/>
        <v>20</v>
      </c>
      <c r="BJ276" s="529">
        <f t="shared" si="398"/>
        <v>0</v>
      </c>
      <c r="BK276" s="529">
        <f t="shared" si="379"/>
        <v>0</v>
      </c>
      <c r="BL276" s="530">
        <f t="shared" si="399"/>
        <v>0</v>
      </c>
      <c r="BM276" s="527" t="s">
        <v>3</v>
      </c>
      <c r="BN276" s="527">
        <f>IF(ISNA(VLOOKUP(N276,Veg_Parameters!$A$3:$N$65,8,FALSE)), 0, (VLOOKUP($N276,Veg_Parameters!$A$3:$N$65,8,FALSE)))</f>
        <v>0</v>
      </c>
      <c r="BO276" s="527">
        <f>AH276*(IF(ISNA(VLOOKUP($N276,Veg_Parameters!$A$3:$N$65,9,FALSE)), 0, (VLOOKUP($N276,Veg_Parameters!$A$3:$N$65,9,FALSE))))</f>
        <v>0</v>
      </c>
      <c r="BP276" s="527" t="str">
        <f>IF(ISBLANK(N276),"0",VLOOKUP($N276,Veg_Parameters!$A$4:$U$65,21,))</f>
        <v>0</v>
      </c>
      <c r="BQ276" s="529">
        <f t="shared" si="400"/>
        <v>0</v>
      </c>
      <c r="BR276" s="529">
        <f t="shared" si="401"/>
        <v>0</v>
      </c>
      <c r="BS276" s="529">
        <f t="shared" si="380"/>
        <v>0</v>
      </c>
      <c r="BT276" s="529">
        <f t="shared" si="402"/>
        <v>0</v>
      </c>
      <c r="BU276" s="529">
        <f t="shared" si="403"/>
        <v>0</v>
      </c>
      <c r="BV276" s="529">
        <f t="shared" si="404"/>
        <v>0</v>
      </c>
      <c r="BW276" s="532" t="str">
        <f t="shared" si="381"/>
        <v/>
      </c>
      <c r="BX276" s="532" t="str">
        <f t="shared" si="382"/>
        <v/>
      </c>
      <c r="BY276" s="532" t="str">
        <f t="shared" si="383"/>
        <v/>
      </c>
      <c r="BZ276" s="532" t="str">
        <f t="shared" si="384"/>
        <v/>
      </c>
      <c r="CA276" s="532">
        <f t="shared" si="385"/>
        <v>0</v>
      </c>
      <c r="CB276" s="533"/>
      <c r="CC276" s="624">
        <f t="shared" si="386"/>
        <v>0</v>
      </c>
      <c r="CD276" s="534">
        <f t="shared" si="387"/>
        <v>0</v>
      </c>
      <c r="CE276" s="534">
        <f t="shared" si="388"/>
        <v>0</v>
      </c>
      <c r="CF276" s="534">
        <f t="shared" si="389"/>
        <v>0</v>
      </c>
      <c r="CG276" s="534"/>
      <c r="CH276" s="534"/>
      <c r="CI276" s="534">
        <f t="shared" si="405"/>
        <v>0</v>
      </c>
      <c r="CL276" s="534">
        <f>IF(ISNA(VLOOKUP(I276,Veg_Parameters!$A$3:$N$65,13,FALSE)),0,(VLOOKUP(I276,Veg_Parameters!$A$3:$N$65,13,FALSE)))</f>
        <v>0</v>
      </c>
      <c r="CM276" s="534">
        <f t="shared" si="406"/>
        <v>0</v>
      </c>
      <c r="CN276" s="534">
        <f>IF(ISNA(VLOOKUP(N276,Veg_Parameters!$A$3:$N$65,13,FALSE)),0,(VLOOKUP(N276,Veg_Parameters!$A$3:$N$65,13,FALSE)))</f>
        <v>0</v>
      </c>
      <c r="CO276" s="523">
        <f t="shared" si="407"/>
        <v>0</v>
      </c>
    </row>
    <row r="277" spans="1:93" ht="13.5" thickBot="1" x14ac:dyDescent="0.25">
      <c r="A277" s="227"/>
      <c r="B277" s="171" t="str">
        <f t="shared" si="408"/>
        <v/>
      </c>
      <c r="C277" s="230"/>
      <c r="D277" s="169"/>
      <c r="E277" s="165"/>
      <c r="F277" s="165"/>
      <c r="G277" s="165"/>
      <c r="H277" s="165"/>
      <c r="I277" s="168"/>
      <c r="J277" s="167"/>
      <c r="K277" s="168"/>
      <c r="L277" s="167"/>
      <c r="M277" s="167"/>
      <c r="N277" s="168"/>
      <c r="O277" s="168"/>
      <c r="P277" s="167"/>
      <c r="Q277" s="167"/>
      <c r="R277" s="167"/>
      <c r="S277" s="222" t="str">
        <f>IF(ISBLANK(A277),"",IF(ISNA(VLOOKUP(I277,Veg_Parameters!$A$3:$N$65,3,FALSE)),0,(VLOOKUP(I277,Veg_Parameters!$A$3:$N$65,3,FALSE))))</f>
        <v/>
      </c>
      <c r="T277" s="222" t="str">
        <f>IF(ISBLANK(N277),"",IF(ISNA(VLOOKUP(N277,Veg_Parameters!$A$3:$N$65,3,FALSE)),0,(VLOOKUP(N277,Veg_Parameters!$A$3:$N$65,3,FALSE))))</f>
        <v/>
      </c>
      <c r="U277" s="523">
        <f t="shared" si="390"/>
        <v>0</v>
      </c>
      <c r="V277" s="523">
        <f t="shared" si="366"/>
        <v>0</v>
      </c>
      <c r="W277" s="524">
        <f>IF(ISBLANK(A277),0,IF(ISNA(VLOOKUP($I277,Veg_Parameters!$A$3:$N$65,10,FALSE)),0,(VLOOKUP($I277,Veg_Parameters!$A$3:$N$65,10,FALSE))))</f>
        <v>0</v>
      </c>
      <c r="X277" s="524">
        <f>IF(ISBLANK(A277),0,IF(ISNA(VLOOKUP($I277,Veg_Parameters!$A$3:$N$65,11,FALSE)),0,(VLOOKUP($I277,Veg_Parameters!$A$3:$N$65,11,FALSE))))</f>
        <v>0</v>
      </c>
      <c r="Y277" s="524">
        <f>IF(ISBLANK(A277),0,IF(ISNA(VLOOKUP($I277,Veg_Parameters!$A$3:$N$65,12,FALSE)),0,(VLOOKUP($I277,Veg_Parameters!$A$3:$N$65,12,FALSE))))</f>
        <v>0</v>
      </c>
      <c r="Z277" s="525">
        <f t="shared" si="367"/>
        <v>0</v>
      </c>
      <c r="AA277" s="525">
        <f t="shared" si="368"/>
        <v>0</v>
      </c>
      <c r="AB277" s="525">
        <f t="shared" si="369"/>
        <v>0</v>
      </c>
      <c r="AC277" s="524">
        <f>IF(ISBLANK(N277),0,IF(ISNA(VLOOKUP($N277,Veg_Parameters!$A$3:$N$65,10,FALSE)),0,(VLOOKUP($N277,Veg_Parameters!$A$3:$N$65,10,FALSE))))</f>
        <v>0</v>
      </c>
      <c r="AD277" s="524">
        <f>IF(ISBLANK(N277),0,IF(ISNA(VLOOKUP($N277,Veg_Parameters!$A$3:$N$65,11,FALSE)),0,(VLOOKUP($N277,Veg_Parameters!$A$3:$N$65,11,FALSE))))</f>
        <v>0</v>
      </c>
      <c r="AE277" s="524">
        <f>IF(ISBLANK(N277), 0, IF(ISNA(VLOOKUP($N277,Veg_Parameters!$A$3:$N$65,12,FALSE)),0,(VLOOKUP($N277,Veg_Parameters!$A$3:$N$65,12,FALSE))))</f>
        <v>0</v>
      </c>
      <c r="AF277" s="523">
        <f t="shared" si="370"/>
        <v>0</v>
      </c>
      <c r="AG277" s="523">
        <f t="shared" si="371"/>
        <v>0</v>
      </c>
      <c r="AH277" s="523">
        <f t="shared" si="372"/>
        <v>0</v>
      </c>
      <c r="AI277" s="526"/>
      <c r="AJ277" s="527">
        <f>AB277*(IF(ISNA(VLOOKUP($I277,Veg_Parameters!$A$3:$N$65,5,FALSE)),0,(VLOOKUP($I277,Veg_Parameters!$A$3:$N$65,5,FALSE))))</f>
        <v>0</v>
      </c>
      <c r="AK277" s="527">
        <f>IF(ISNA(VLOOKUP($I277,Veg_Parameters!$A$3:$N$65,4,FALSE)),0,(VLOOKUP($I277,Veg_Parameters!$A$3:$N$65,4,FALSE)))</f>
        <v>0</v>
      </c>
      <c r="AL277" s="527">
        <f>AB277*(IF(ISNA(VLOOKUP($I277,Veg_Parameters!$A$3:$N$65,7,FALSE)),0, (VLOOKUP($I277,Veg_Parameters!$A$3:$N$65,7,FALSE))))</f>
        <v>0</v>
      </c>
      <c r="AM277" s="528">
        <f>IF(ISNA(VLOOKUP($I277,Veg_Parameters!$A$3:$N$65,6,FALSE)), 0, (VLOOKUP($I277,Veg_Parameters!$A$3:$N$65,6,FALSE)))</f>
        <v>0</v>
      </c>
      <c r="AN277" s="529">
        <f t="shared" si="373"/>
        <v>20</v>
      </c>
      <c r="AO277" s="529">
        <f t="shared" si="374"/>
        <v>0</v>
      </c>
      <c r="AP277" s="529">
        <f t="shared" si="375"/>
        <v>0</v>
      </c>
      <c r="AQ277" s="530">
        <f t="shared" si="391"/>
        <v>0</v>
      </c>
      <c r="AR277" s="527" t="s">
        <v>3</v>
      </c>
      <c r="AS277" s="527">
        <f>IF(ISNA(VLOOKUP($I277,Veg_Parameters!$A$3:$N$65,8,FALSE)), 0, (VLOOKUP($I277,Veg_Parameters!$A$3:$N$65,8,FALSE)))</f>
        <v>0</v>
      </c>
      <c r="AT277" s="527">
        <f>AB277*(IF(ISNA(VLOOKUP($I277,Veg_Parameters!$A$3:$N$65,9,FALSE)), 0, (VLOOKUP($I277,Veg_Parameters!$A$3:$N$65,9,FALSE))))</f>
        <v>0</v>
      </c>
      <c r="AU277" s="527">
        <f>IF(ISBLANK(A277),0,VLOOKUP($I277,Veg_Parameters!$A$4:$U$65,21,))</f>
        <v>0</v>
      </c>
      <c r="AV277" s="527">
        <f t="shared" si="392"/>
        <v>0</v>
      </c>
      <c r="AW277" s="529">
        <f t="shared" si="393"/>
        <v>0</v>
      </c>
      <c r="AX277" s="529">
        <f t="shared" si="394"/>
        <v>0</v>
      </c>
      <c r="AY277" s="529">
        <f t="shared" si="376"/>
        <v>0</v>
      </c>
      <c r="AZ277" s="529">
        <f t="shared" si="395"/>
        <v>0</v>
      </c>
      <c r="BA277" s="529">
        <f t="shared" si="396"/>
        <v>0</v>
      </c>
      <c r="BB277" s="529">
        <f t="shared" si="397"/>
        <v>0</v>
      </c>
      <c r="BC277" s="529">
        <f t="shared" si="377"/>
        <v>0</v>
      </c>
      <c r="BD277" s="531"/>
      <c r="BE277" s="527">
        <f>AH277*(IF(ISNA(VLOOKUP($N277,Veg_Parameters!$A$3:$N$65,5,FALSE)),0,(VLOOKUP($N277,Veg_Parameters!$A$3:$N$65,5,FALSE))))</f>
        <v>0</v>
      </c>
      <c r="BF277" s="527">
        <f>IF(ISNA(VLOOKUP($N277,Veg_Parameters!$A$3:$N$65,4,FALSE)),0,(VLOOKUP($N277,Veg_Parameters!$A$3:$N$65,4,FALSE)))</f>
        <v>0</v>
      </c>
      <c r="BG277" s="527">
        <f>AH277*(IF(ISNA(VLOOKUP($N277,Veg_Parameters!$A$3:$N$65,7,FALSE)),0, (VLOOKUP($N277,Veg_Parameters!$A$3:$N$65,7,FALSE))))</f>
        <v>0</v>
      </c>
      <c r="BH277" s="527">
        <f>IF(ISNA(VLOOKUP($N277,Veg_Parameters!$A$3:$N$65,6,FALSE)), 0, (VLOOKUP($N277,Veg_Parameters!$A$3:$N$65,6,FALSE)))</f>
        <v>0</v>
      </c>
      <c r="BI277" s="529">
        <f t="shared" si="378"/>
        <v>20</v>
      </c>
      <c r="BJ277" s="529">
        <f t="shared" si="398"/>
        <v>0</v>
      </c>
      <c r="BK277" s="529">
        <f t="shared" si="379"/>
        <v>0</v>
      </c>
      <c r="BL277" s="530">
        <f t="shared" si="399"/>
        <v>0</v>
      </c>
      <c r="BM277" s="527" t="s">
        <v>3</v>
      </c>
      <c r="BN277" s="527">
        <f>IF(ISNA(VLOOKUP(N277,Veg_Parameters!$A$3:$N$65,8,FALSE)), 0, (VLOOKUP($N277,Veg_Parameters!$A$3:$N$65,8,FALSE)))</f>
        <v>0</v>
      </c>
      <c r="BO277" s="527">
        <f>AH277*(IF(ISNA(VLOOKUP($N277,Veg_Parameters!$A$3:$N$65,9,FALSE)), 0, (VLOOKUP($N277,Veg_Parameters!$A$3:$N$65,9,FALSE))))</f>
        <v>0</v>
      </c>
      <c r="BP277" s="527" t="str">
        <f>IF(ISBLANK(N277),"0",VLOOKUP($N277,Veg_Parameters!$A$4:$U$65,21,))</f>
        <v>0</v>
      </c>
      <c r="BQ277" s="529">
        <f t="shared" si="400"/>
        <v>0</v>
      </c>
      <c r="BR277" s="529">
        <f t="shared" si="401"/>
        <v>0</v>
      </c>
      <c r="BS277" s="529">
        <f t="shared" si="380"/>
        <v>0</v>
      </c>
      <c r="BT277" s="529">
        <f t="shared" si="402"/>
        <v>0</v>
      </c>
      <c r="BU277" s="529">
        <f t="shared" si="403"/>
        <v>0</v>
      </c>
      <c r="BV277" s="529">
        <f t="shared" si="404"/>
        <v>0</v>
      </c>
      <c r="BW277" s="532" t="str">
        <f t="shared" si="381"/>
        <v/>
      </c>
      <c r="BX277" s="532" t="str">
        <f t="shared" si="382"/>
        <v/>
      </c>
      <c r="BY277" s="532" t="str">
        <f t="shared" si="383"/>
        <v/>
      </c>
      <c r="BZ277" s="532" t="str">
        <f t="shared" si="384"/>
        <v/>
      </c>
      <c r="CA277" s="532">
        <f t="shared" si="385"/>
        <v>0</v>
      </c>
      <c r="CB277" s="533"/>
      <c r="CC277" s="624">
        <f t="shared" si="386"/>
        <v>0</v>
      </c>
      <c r="CD277" s="534">
        <f t="shared" si="387"/>
        <v>0</v>
      </c>
      <c r="CE277" s="534">
        <f t="shared" si="388"/>
        <v>0</v>
      </c>
      <c r="CF277" s="534">
        <f t="shared" si="389"/>
        <v>0</v>
      </c>
      <c r="CG277" s="534"/>
      <c r="CH277" s="534"/>
      <c r="CI277" s="534">
        <f t="shared" si="405"/>
        <v>0</v>
      </c>
      <c r="CL277" s="534">
        <f>IF(ISNA(VLOOKUP(I277,Veg_Parameters!$A$3:$N$65,13,FALSE)),0,(VLOOKUP(I277,Veg_Parameters!$A$3:$N$65,13,FALSE)))</f>
        <v>0</v>
      </c>
      <c r="CM277" s="534">
        <f t="shared" si="406"/>
        <v>0</v>
      </c>
      <c r="CN277" s="534">
        <f>IF(ISNA(VLOOKUP(N277,Veg_Parameters!$A$3:$N$65,13,FALSE)),0,(VLOOKUP(N277,Veg_Parameters!$A$3:$N$65,13,FALSE)))</f>
        <v>0</v>
      </c>
      <c r="CO277" s="523">
        <f t="shared" si="407"/>
        <v>0</v>
      </c>
    </row>
    <row r="278" spans="1:93" ht="13.5" thickBot="1" x14ac:dyDescent="0.25">
      <c r="A278" s="231" t="s">
        <v>70</v>
      </c>
      <c r="B278" s="186" t="str">
        <f>IF(ISBLANK(B253),"",B253)</f>
        <v/>
      </c>
      <c r="C278" s="231"/>
      <c r="D278" s="188"/>
      <c r="E278" s="188"/>
      <c r="F278" s="188"/>
      <c r="G278" s="189" t="str">
        <f>IFERROR((SUMPRODUCT($U253:$U277,G253:G277))/(100*$U278),"")</f>
        <v/>
      </c>
      <c r="H278" s="189" t="str">
        <f>IFERROR((SUMPRODUCT($U253:$U277,H253:H277))/(100*$U278),"")</f>
        <v/>
      </c>
      <c r="I278" s="188"/>
      <c r="J278" s="188"/>
      <c r="K278" s="188"/>
      <c r="L278" s="188"/>
      <c r="M278" s="188" t="s">
        <v>27</v>
      </c>
      <c r="N278" s="188"/>
      <c r="O278" s="188"/>
      <c r="P278" s="188"/>
      <c r="Q278" s="188"/>
      <c r="R278" s="188" t="s">
        <v>27</v>
      </c>
      <c r="S278" s="223"/>
      <c r="T278" s="223"/>
      <c r="U278" s="562">
        <f>+SUM(U253:U277)</f>
        <v>0</v>
      </c>
      <c r="V278" s="535" t="str">
        <f>IFERROR(SUMPRODUCT(U253:U277, V253:V277)/U278,"")</f>
        <v/>
      </c>
      <c r="W278" s="536"/>
      <c r="X278" s="536"/>
      <c r="Y278" s="536"/>
      <c r="Z278" s="536"/>
      <c r="AA278" s="536"/>
      <c r="AB278" s="536"/>
      <c r="AC278" s="536"/>
      <c r="AD278" s="536"/>
      <c r="AE278" s="536"/>
      <c r="AF278" s="537"/>
      <c r="AG278" s="537"/>
      <c r="AH278" s="537"/>
      <c r="AI278" s="104"/>
      <c r="AJ278" s="538"/>
      <c r="AK278" s="538"/>
      <c r="AL278" s="539"/>
      <c r="AM278" s="540"/>
      <c r="AN278" s="541"/>
      <c r="AO278" s="538"/>
      <c r="AP278" s="542">
        <f>MAX(AP253:AP277)</f>
        <v>0</v>
      </c>
      <c r="AQ278" s="542" t="s">
        <v>27</v>
      </c>
      <c r="AR278" s="538"/>
      <c r="AS278" s="538"/>
      <c r="AT278" s="538"/>
      <c r="AU278" s="538"/>
      <c r="AV278" s="543">
        <f>SUM(AV253:AV277)</f>
        <v>0</v>
      </c>
      <c r="AW278" s="538"/>
      <c r="AX278" s="538"/>
      <c r="AY278" s="544"/>
      <c r="AZ278" s="544"/>
      <c r="BA278" s="544"/>
      <c r="BB278" s="544"/>
      <c r="BC278" s="544"/>
      <c r="BD278" s="538"/>
      <c r="BE278" s="538"/>
      <c r="BF278" s="538"/>
      <c r="BG278" s="539"/>
      <c r="BH278" s="540"/>
      <c r="BI278" s="541"/>
      <c r="BJ278" s="538"/>
      <c r="BK278" s="542">
        <f>MAX(BK253:BK277)</f>
        <v>0</v>
      </c>
      <c r="BL278" s="538"/>
      <c r="BM278" s="538"/>
      <c r="BN278" s="538"/>
      <c r="BO278" s="538"/>
      <c r="BP278" s="538"/>
      <c r="BQ278" s="538"/>
      <c r="BR278" s="538"/>
      <c r="BS278" s="544"/>
      <c r="BT278" s="544"/>
      <c r="BU278" s="544"/>
      <c r="BV278" s="544"/>
      <c r="BW278" s="545">
        <f>SUM(IF(FREQUENCY(BW253:BW277,BW253:BW277)&gt;0,1))</f>
        <v>0</v>
      </c>
      <c r="BX278" s="545">
        <f>SUM(IF(FREQUENCY(BX253:BX277,BX253:BX277)&gt;0,1))</f>
        <v>0</v>
      </c>
      <c r="BY278" s="545">
        <f>SUM(IF(FREQUENCY(BY253:BY277,BY253:BY277)&gt;0,1))</f>
        <v>0</v>
      </c>
      <c r="BZ278" s="545">
        <f>SUM(IF(FREQUENCY(BZ253:BZ277,BZ253:BZ277)&gt;0,1))</f>
        <v>0</v>
      </c>
      <c r="CA278" s="546"/>
      <c r="CB278" s="547"/>
      <c r="CC278" s="625" t="str">
        <f>+IFERROR(((SUM(CC253:CC277))/$U278),"")</f>
        <v/>
      </c>
      <c r="CD278" s="548" t="str">
        <f>+IFERROR(((SUM(CD253:CD277))/$U278),"")</f>
        <v/>
      </c>
      <c r="CE278" s="548" t="str">
        <f>+IFERROR(((SUM(CE253:CE277))/$U278),"")</f>
        <v/>
      </c>
      <c r="CF278" s="549" t="str">
        <f>+IFERROR(((SUM(CF253:CF277))/$U278),"")</f>
        <v/>
      </c>
      <c r="CG278" s="550">
        <f>SUM(IF(FREQUENCY(BW253:BX277,BW253:BX277)&gt;0,1))</f>
        <v>0</v>
      </c>
      <c r="CH278" s="551">
        <f>SUM(IF(FREQUENCY(BY253:BZ277,BY253:BZ277)&gt;0,1))</f>
        <v>0</v>
      </c>
      <c r="CI278" s="552">
        <f>+SUM(CI253:CI277)</f>
        <v>0</v>
      </c>
    </row>
    <row r="279" spans="1:93" ht="30" customHeight="1" thickBot="1" x14ac:dyDescent="0.25">
      <c r="A279" s="219"/>
      <c r="B279" s="48"/>
      <c r="C279" s="219"/>
      <c r="D279" s="49"/>
      <c r="E279" s="49"/>
      <c r="F279" s="49"/>
      <c r="G279" s="49"/>
      <c r="H279" s="49"/>
      <c r="I279" s="49"/>
      <c r="J279" s="49"/>
      <c r="K279" s="49"/>
      <c r="L279" s="49"/>
      <c r="M279" s="49"/>
      <c r="N279" s="49"/>
      <c r="O279" s="49"/>
      <c r="P279" s="49"/>
      <c r="Q279" s="49"/>
      <c r="R279" s="49"/>
      <c r="S279" s="219"/>
      <c r="T279" s="219"/>
      <c r="U279" s="554"/>
      <c r="V279" s="554"/>
      <c r="W279" s="490"/>
      <c r="X279" s="490"/>
      <c r="Y279" s="490"/>
      <c r="Z279" s="490"/>
      <c r="AA279" s="490"/>
      <c r="AB279" s="490"/>
      <c r="AC279" s="490"/>
      <c r="AD279" s="490"/>
      <c r="AE279" s="490"/>
      <c r="AF279" s="491"/>
      <c r="AG279" s="491"/>
      <c r="AH279" s="491"/>
      <c r="AI279" s="104"/>
      <c r="AJ279" s="477"/>
      <c r="AK279" s="477"/>
      <c r="AL279" s="477"/>
      <c r="AM279" s="477"/>
      <c r="AN279" s="477"/>
      <c r="AO279" s="477"/>
      <c r="AP279" s="477"/>
      <c r="AQ279" s="477"/>
      <c r="AR279" s="477"/>
      <c r="AS279" s="477"/>
      <c r="AT279" s="477"/>
      <c r="AU279" s="477"/>
      <c r="AV279" s="477"/>
      <c r="AW279" s="477"/>
      <c r="AX279" s="477"/>
      <c r="AY279" s="563"/>
      <c r="AZ279" s="564"/>
      <c r="BA279" s="564"/>
      <c r="BB279" s="564"/>
      <c r="BC279" s="564"/>
      <c r="BD279" s="477"/>
      <c r="BE279" s="477"/>
      <c r="BF279" s="477"/>
      <c r="BG279" s="477"/>
      <c r="BH279" s="477"/>
      <c r="BI279" s="477"/>
      <c r="BJ279" s="477"/>
      <c r="BK279" s="477"/>
      <c r="BL279" s="477"/>
      <c r="BM279" s="477"/>
      <c r="BN279" s="477"/>
      <c r="BO279" s="477"/>
      <c r="BP279" s="477"/>
      <c r="BQ279" s="477"/>
      <c r="BR279" s="477"/>
      <c r="BS279" s="290"/>
      <c r="BT279" s="104"/>
      <c r="BU279" s="104"/>
      <c r="BV279" s="104"/>
      <c r="BW279" s="555"/>
      <c r="BX279" s="555"/>
      <c r="BY279" s="555"/>
      <c r="BZ279" s="555"/>
      <c r="CA279" s="473"/>
      <c r="CB279" s="492"/>
      <c r="CC279" s="1164" t="s">
        <v>393</v>
      </c>
      <c r="CD279" s="1165"/>
      <c r="CE279" s="1165"/>
      <c r="CF279" s="1166"/>
      <c r="CG279" s="1162" t="s">
        <v>560</v>
      </c>
      <c r="CH279" s="1163"/>
      <c r="CI279" s="556" t="s">
        <v>553</v>
      </c>
    </row>
    <row r="280" spans="1:93" s="121" customFormat="1" x14ac:dyDescent="0.2">
      <c r="A280" s="224" t="s">
        <v>405</v>
      </c>
      <c r="B280" s="119"/>
      <c r="C280" s="224"/>
      <c r="D280" s="120"/>
      <c r="E280" s="120"/>
      <c r="F280" s="120"/>
      <c r="G280" s="120"/>
      <c r="H280" s="120"/>
      <c r="I280" s="120"/>
      <c r="J280" s="120"/>
      <c r="K280" s="120"/>
      <c r="L280" s="113"/>
      <c r="M280" s="120"/>
      <c r="N280" s="120"/>
      <c r="O280" s="120"/>
      <c r="P280" s="113"/>
      <c r="Q280" s="120"/>
      <c r="R280" s="120"/>
      <c r="S280" s="224"/>
      <c r="T280" s="224"/>
      <c r="U280" s="557"/>
      <c r="V280" s="557"/>
      <c r="W280" s="558"/>
      <c r="X280" s="558"/>
      <c r="Y280" s="558"/>
      <c r="Z280" s="558"/>
      <c r="AA280" s="558"/>
      <c r="AB280" s="558"/>
      <c r="AC280" s="558"/>
      <c r="AD280" s="558"/>
      <c r="AE280" s="558"/>
      <c r="AF280" s="559"/>
      <c r="AG280" s="559"/>
      <c r="AH280" s="559"/>
      <c r="AI280" s="104"/>
      <c r="AJ280" s="559"/>
      <c r="AK280" s="559"/>
      <c r="AL280" s="559"/>
      <c r="AM280" s="559"/>
      <c r="AN280" s="559"/>
      <c r="AO280" s="559"/>
      <c r="AP280" s="559"/>
      <c r="AQ280" s="559"/>
      <c r="AR280" s="559"/>
      <c r="AS280" s="559"/>
      <c r="AT280" s="559"/>
      <c r="AU280" s="559"/>
      <c r="AV280" s="559"/>
      <c r="AW280" s="559"/>
      <c r="AX280" s="559"/>
      <c r="AY280" s="559"/>
      <c r="AZ280" s="559"/>
      <c r="BA280" s="559"/>
      <c r="BB280" s="559"/>
      <c r="BC280" s="559"/>
      <c r="BD280" s="559"/>
      <c r="BE280" s="559"/>
      <c r="BF280" s="559"/>
      <c r="BG280" s="559"/>
      <c r="BH280" s="559"/>
      <c r="BI280" s="559"/>
      <c r="BJ280" s="559"/>
      <c r="BK280" s="559"/>
      <c r="BL280" s="559"/>
      <c r="BM280" s="559"/>
      <c r="BN280" s="559"/>
      <c r="BO280" s="559"/>
      <c r="BP280" s="559"/>
      <c r="BQ280" s="559"/>
      <c r="BR280" s="559"/>
      <c r="BS280" s="559"/>
      <c r="BT280" s="559"/>
      <c r="BU280" s="559"/>
      <c r="BV280" s="559"/>
      <c r="BW280" s="475"/>
      <c r="BX280" s="475"/>
      <c r="BY280" s="475"/>
      <c r="BZ280" s="475"/>
      <c r="CA280" s="475"/>
      <c r="CB280" s="475"/>
      <c r="CC280" s="626"/>
      <c r="CD280" s="560"/>
      <c r="CE280" s="560"/>
      <c r="CF280" s="560"/>
      <c r="CG280" s="560"/>
      <c r="CH280" s="560"/>
      <c r="CI280" s="560"/>
      <c r="CJ280" s="560"/>
      <c r="CK280" s="560"/>
      <c r="CL280" s="560"/>
      <c r="CM280" s="560"/>
      <c r="CN280" s="560"/>
      <c r="CO280" s="561"/>
    </row>
    <row r="281" spans="1:93" s="183" customFormat="1" ht="87" customHeight="1" x14ac:dyDescent="0.2">
      <c r="A281" s="228" t="s">
        <v>73</v>
      </c>
      <c r="B281" s="184" t="s">
        <v>421</v>
      </c>
      <c r="C281" s="293" t="s">
        <v>114</v>
      </c>
      <c r="D281" s="173" t="s">
        <v>53</v>
      </c>
      <c r="E281" s="173" t="s">
        <v>499</v>
      </c>
      <c r="F281" s="173" t="s">
        <v>394</v>
      </c>
      <c r="G281" s="173" t="s">
        <v>242</v>
      </c>
      <c r="H281" s="173" t="s">
        <v>563</v>
      </c>
      <c r="I281" s="173" t="s">
        <v>236</v>
      </c>
      <c r="J281" s="173" t="s">
        <v>240</v>
      </c>
      <c r="K281" s="173" t="s">
        <v>238</v>
      </c>
      <c r="L281" s="173" t="s">
        <v>554</v>
      </c>
      <c r="M281" s="173" t="s">
        <v>241</v>
      </c>
      <c r="N281" s="173" t="s">
        <v>237</v>
      </c>
      <c r="O281" s="173" t="s">
        <v>243</v>
      </c>
      <c r="P281" s="173" t="s">
        <v>239</v>
      </c>
      <c r="Q281" s="173" t="s">
        <v>555</v>
      </c>
      <c r="R281" s="173" t="s">
        <v>244</v>
      </c>
      <c r="S281" s="220" t="s">
        <v>245</v>
      </c>
      <c r="T281" s="220" t="s">
        <v>256</v>
      </c>
      <c r="U281" s="500" t="s">
        <v>53</v>
      </c>
      <c r="V281" s="500" t="s">
        <v>396</v>
      </c>
      <c r="W281" s="501" t="s">
        <v>508</v>
      </c>
      <c r="X281" s="501" t="s">
        <v>509</v>
      </c>
      <c r="Y281" s="501" t="s">
        <v>510</v>
      </c>
      <c r="Z281" s="501" t="s">
        <v>512</v>
      </c>
      <c r="AA281" s="501" t="s">
        <v>513</v>
      </c>
      <c r="AB281" s="501" t="s">
        <v>514</v>
      </c>
      <c r="AC281" s="501" t="s">
        <v>506</v>
      </c>
      <c r="AD281" s="501" t="s">
        <v>507</v>
      </c>
      <c r="AE281" s="501" t="s">
        <v>511</v>
      </c>
      <c r="AF281" s="501" t="s">
        <v>503</v>
      </c>
      <c r="AG281" s="501" t="s">
        <v>504</v>
      </c>
      <c r="AH281" s="501" t="s">
        <v>505</v>
      </c>
      <c r="AI281" s="502"/>
      <c r="AJ281" s="502" t="s">
        <v>246</v>
      </c>
      <c r="AK281" s="502" t="s">
        <v>247</v>
      </c>
      <c r="AL281" s="503" t="s">
        <v>248</v>
      </c>
      <c r="AM281" s="503" t="s">
        <v>249</v>
      </c>
      <c r="AN281" s="504" t="s">
        <v>250</v>
      </c>
      <c r="AO281" s="502" t="s">
        <v>270</v>
      </c>
      <c r="AP281" s="502" t="s">
        <v>271</v>
      </c>
      <c r="AQ281" s="503" t="s">
        <v>251</v>
      </c>
      <c r="AR281" s="503" t="s">
        <v>14</v>
      </c>
      <c r="AS281" s="503" t="s">
        <v>252</v>
      </c>
      <c r="AT281" s="503" t="s">
        <v>253</v>
      </c>
      <c r="AU281" s="503" t="s">
        <v>579</v>
      </c>
      <c r="AV281" s="503" t="s">
        <v>578</v>
      </c>
      <c r="AW281" s="503" t="s">
        <v>254</v>
      </c>
      <c r="AX281" s="503" t="s">
        <v>255</v>
      </c>
      <c r="AY281" s="503" t="s">
        <v>391</v>
      </c>
      <c r="AZ281" s="503" t="s">
        <v>267</v>
      </c>
      <c r="BA281" s="503" t="s">
        <v>272</v>
      </c>
      <c r="BB281" s="503" t="s">
        <v>273</v>
      </c>
      <c r="BC281" s="502" t="s">
        <v>539</v>
      </c>
      <c r="BD281" s="503"/>
      <c r="BE281" s="502" t="s">
        <v>257</v>
      </c>
      <c r="BF281" s="502" t="s">
        <v>258</v>
      </c>
      <c r="BG281" s="503" t="s">
        <v>259</v>
      </c>
      <c r="BH281" s="503" t="s">
        <v>260</v>
      </c>
      <c r="BI281" s="504" t="s">
        <v>261</v>
      </c>
      <c r="BJ281" s="502" t="s">
        <v>275</v>
      </c>
      <c r="BK281" s="502" t="s">
        <v>274</v>
      </c>
      <c r="BL281" s="503" t="s">
        <v>262</v>
      </c>
      <c r="BM281" s="503" t="s">
        <v>14</v>
      </c>
      <c r="BN281" s="503" t="s">
        <v>263</v>
      </c>
      <c r="BO281" s="503" t="s">
        <v>264</v>
      </c>
      <c r="BP281" s="503" t="s">
        <v>542</v>
      </c>
      <c r="BQ281" s="503" t="s">
        <v>265</v>
      </c>
      <c r="BR281" s="503" t="s">
        <v>266</v>
      </c>
      <c r="BS281" s="503" t="s">
        <v>392</v>
      </c>
      <c r="BT281" s="503" t="s">
        <v>276</v>
      </c>
      <c r="BU281" s="503" t="s">
        <v>277</v>
      </c>
      <c r="BV281" s="503" t="s">
        <v>278</v>
      </c>
      <c r="BW281" s="503" t="s">
        <v>556</v>
      </c>
      <c r="BX281" s="503" t="s">
        <v>559</v>
      </c>
      <c r="BY281" s="503" t="s">
        <v>557</v>
      </c>
      <c r="BZ281" s="503" t="s">
        <v>558</v>
      </c>
      <c r="CA281" s="505" t="s">
        <v>543</v>
      </c>
      <c r="CB281" s="506"/>
      <c r="CC281" s="622" t="s">
        <v>279</v>
      </c>
      <c r="CD281" s="506" t="s">
        <v>280</v>
      </c>
      <c r="CE281" s="506" t="s">
        <v>281</v>
      </c>
      <c r="CF281" s="506" t="s">
        <v>282</v>
      </c>
      <c r="CG281" s="506" t="s">
        <v>283</v>
      </c>
      <c r="CH281" s="506" t="s">
        <v>284</v>
      </c>
      <c r="CI281" s="506" t="s">
        <v>545</v>
      </c>
      <c r="CJ281" s="507"/>
      <c r="CK281" s="507"/>
      <c r="CL281" s="506" t="s">
        <v>422</v>
      </c>
      <c r="CM281" s="506" t="s">
        <v>516</v>
      </c>
      <c r="CN281" s="506" t="s">
        <v>423</v>
      </c>
      <c r="CO281" s="508" t="s">
        <v>517</v>
      </c>
    </row>
    <row r="282" spans="1:93" s="16" customFormat="1" ht="27" customHeight="1" x14ac:dyDescent="0.2">
      <c r="A282" s="229" t="s">
        <v>5</v>
      </c>
      <c r="B282" s="185" t="s">
        <v>28</v>
      </c>
      <c r="C282" s="294" t="s">
        <v>5</v>
      </c>
      <c r="D282" s="174" t="s">
        <v>119</v>
      </c>
      <c r="E282" s="174" t="s">
        <v>498</v>
      </c>
      <c r="F282" s="174" t="s">
        <v>268</v>
      </c>
      <c r="G282" s="174" t="s">
        <v>60</v>
      </c>
      <c r="H282" s="174"/>
      <c r="I282" s="174" t="s">
        <v>28</v>
      </c>
      <c r="J282" s="174" t="s">
        <v>15</v>
      </c>
      <c r="K282" s="174" t="s">
        <v>269</v>
      </c>
      <c r="L282" s="174" t="s">
        <v>61</v>
      </c>
      <c r="M282" s="174" t="s">
        <v>5</v>
      </c>
      <c r="N282" s="174" t="s">
        <v>28</v>
      </c>
      <c r="O282" s="174" t="s">
        <v>15</v>
      </c>
      <c r="P282" s="174" t="s">
        <v>269</v>
      </c>
      <c r="Q282" s="174" t="s">
        <v>61</v>
      </c>
      <c r="R282" s="174" t="s">
        <v>5</v>
      </c>
      <c r="S282" s="221" t="s">
        <v>16</v>
      </c>
      <c r="T282" s="221" t="s">
        <v>16</v>
      </c>
      <c r="U282" s="509" t="s">
        <v>59</v>
      </c>
      <c r="V282" s="509" t="s">
        <v>5</v>
      </c>
      <c r="W282" s="510" t="s">
        <v>60</v>
      </c>
      <c r="X282" s="510" t="s">
        <v>60</v>
      </c>
      <c r="Y282" s="510" t="s">
        <v>60</v>
      </c>
      <c r="Z282" s="511" t="s">
        <v>60</v>
      </c>
      <c r="AA282" s="511" t="s">
        <v>60</v>
      </c>
      <c r="AB282" s="511" t="s">
        <v>60</v>
      </c>
      <c r="AC282" s="510" t="s">
        <v>60</v>
      </c>
      <c r="AD282" s="510" t="s">
        <v>60</v>
      </c>
      <c r="AE282" s="510"/>
      <c r="AF282" s="511" t="s">
        <v>60</v>
      </c>
      <c r="AG282" s="511" t="s">
        <v>60</v>
      </c>
      <c r="AH282" s="511" t="s">
        <v>60</v>
      </c>
      <c r="AI282" s="512"/>
      <c r="AJ282" s="512" t="s">
        <v>17</v>
      </c>
      <c r="AK282" s="512" t="s">
        <v>18</v>
      </c>
      <c r="AL282" s="513" t="s">
        <v>51</v>
      </c>
      <c r="AM282" s="514" t="s">
        <v>60</v>
      </c>
      <c r="AN282" s="515" t="s">
        <v>52</v>
      </c>
      <c r="AO282" s="516" t="s">
        <v>18</v>
      </c>
      <c r="AP282" s="516" t="s">
        <v>18</v>
      </c>
      <c r="AQ282" s="517" t="s">
        <v>60</v>
      </c>
      <c r="AR282" s="517" t="s">
        <v>18</v>
      </c>
      <c r="AS282" s="517" t="s">
        <v>18</v>
      </c>
      <c r="AT282" s="517" t="s">
        <v>17</v>
      </c>
      <c r="AU282" s="517" t="s">
        <v>538</v>
      </c>
      <c r="AV282" s="517" t="s">
        <v>59</v>
      </c>
      <c r="AW282" s="517" t="s">
        <v>18</v>
      </c>
      <c r="AX282" s="517" t="s">
        <v>59</v>
      </c>
      <c r="AY282" s="517" t="s">
        <v>59</v>
      </c>
      <c r="AZ282" s="517" t="s">
        <v>59</v>
      </c>
      <c r="BA282" s="517" t="s">
        <v>59</v>
      </c>
      <c r="BB282" s="517" t="s">
        <v>59</v>
      </c>
      <c r="BC282" s="512" t="s">
        <v>59</v>
      </c>
      <c r="BD282" s="518"/>
      <c r="BE282" s="512" t="s">
        <v>17</v>
      </c>
      <c r="BF282" s="512" t="s">
        <v>18</v>
      </c>
      <c r="BG282" s="513" t="s">
        <v>51</v>
      </c>
      <c r="BH282" s="514" t="s">
        <v>60</v>
      </c>
      <c r="BI282" s="515" t="s">
        <v>52</v>
      </c>
      <c r="BJ282" s="516" t="s">
        <v>18</v>
      </c>
      <c r="BK282" s="516" t="s">
        <v>18</v>
      </c>
      <c r="BL282" s="517" t="s">
        <v>60</v>
      </c>
      <c r="BM282" s="517" t="s">
        <v>18</v>
      </c>
      <c r="BN282" s="517" t="s">
        <v>18</v>
      </c>
      <c r="BO282" s="517" t="s">
        <v>17</v>
      </c>
      <c r="BP282" s="517" t="s">
        <v>538</v>
      </c>
      <c r="BQ282" s="517" t="s">
        <v>18</v>
      </c>
      <c r="BR282" s="517" t="s">
        <v>59</v>
      </c>
      <c r="BS282" s="517" t="s">
        <v>59</v>
      </c>
      <c r="BT282" s="517" t="s">
        <v>59</v>
      </c>
      <c r="BU282" s="517" t="s">
        <v>59</v>
      </c>
      <c r="BV282" s="517" t="s">
        <v>59</v>
      </c>
      <c r="BW282" s="519" t="s">
        <v>386</v>
      </c>
      <c r="BX282" s="519" t="s">
        <v>386</v>
      </c>
      <c r="BY282" s="519" t="s">
        <v>387</v>
      </c>
      <c r="BZ282" s="519" t="s">
        <v>387</v>
      </c>
      <c r="CA282" s="519" t="s">
        <v>59</v>
      </c>
      <c r="CB282" s="520"/>
      <c r="CC282" s="623" t="s">
        <v>59</v>
      </c>
      <c r="CD282" s="520" t="s">
        <v>59</v>
      </c>
      <c r="CE282" s="520" t="s">
        <v>59</v>
      </c>
      <c r="CF282" s="520" t="s">
        <v>59</v>
      </c>
      <c r="CG282" s="520" t="s">
        <v>386</v>
      </c>
      <c r="CH282" s="520" t="s">
        <v>387</v>
      </c>
      <c r="CI282" s="520" t="s">
        <v>59</v>
      </c>
      <c r="CJ282" s="521"/>
      <c r="CK282" s="521"/>
      <c r="CL282" s="520" t="s">
        <v>28</v>
      </c>
      <c r="CM282" s="520" t="s">
        <v>59</v>
      </c>
      <c r="CN282" s="520" t="s">
        <v>28</v>
      </c>
      <c r="CO282" s="522" t="s">
        <v>59</v>
      </c>
    </row>
    <row r="283" spans="1:93" x14ac:dyDescent="0.2">
      <c r="A283" s="230"/>
      <c r="B283" s="164"/>
      <c r="C283" s="230"/>
      <c r="D283" s="169"/>
      <c r="E283" s="165"/>
      <c r="F283" s="165"/>
      <c r="G283" s="165"/>
      <c r="H283" s="165"/>
      <c r="I283" s="166"/>
      <c r="J283" s="167"/>
      <c r="K283" s="166"/>
      <c r="L283" s="166"/>
      <c r="M283" s="167"/>
      <c r="N283" s="166"/>
      <c r="O283" s="166"/>
      <c r="P283" s="166"/>
      <c r="Q283" s="167"/>
      <c r="R283" s="167"/>
      <c r="S283" s="222" t="str">
        <f>IF(ISBLANK(A283),"",IF(ISNA(VLOOKUP(I283,Veg_Parameters!$A$3:$N$65,3,FALSE)),0,(VLOOKUP(I283,Veg_Parameters!$A$3:$N$65,3,FALSE))))</f>
        <v/>
      </c>
      <c r="T283" s="222" t="str">
        <f>IF(ISBLANK(N283),"",IF(ISNA(VLOOKUP(N283,Veg_Parameters!$A$3:$N$65,3,FALSE)),0,(VLOOKUP(N283,Veg_Parameters!$A$3:$N$65,3,FALSE))))</f>
        <v/>
      </c>
      <c r="U283" s="523">
        <f>IF(ISBLANK(A283),0,0.092903*D283)</f>
        <v>0</v>
      </c>
      <c r="V283" s="523">
        <f t="shared" ref="V283:V307" si="409">IF(ISBLANK(A283),0, IF(F283="H", 5, IF(F283="M", 3, IF(F283="L", 1.5, 0))))</f>
        <v>0</v>
      </c>
      <c r="W283" s="524">
        <f>IF(ISBLANK(A283),0,IF(ISNA(VLOOKUP($I283,Veg_Parameters!$A$3:$N$65,10,FALSE)),0,(VLOOKUP($I283,Veg_Parameters!$A$3:$N$65,10,FALSE))))</f>
        <v>0</v>
      </c>
      <c r="X283" s="524">
        <f>IF(ISBLANK(A283),0,IF(ISNA(VLOOKUP($I283,Veg_Parameters!$A$3:$N$65,11,FALSE)),0,(VLOOKUP($I283,Veg_Parameters!$A$3:$N$65,11,FALSE))))</f>
        <v>0</v>
      </c>
      <c r="Y283" s="524">
        <f>IF(ISBLANK(A283),0,IF(ISNA(VLOOKUP($I283,Veg_Parameters!$A$3:$N$65,12,FALSE)),0,(VLOOKUP($I283,Veg_Parameters!$A$3:$N$65,12,FALSE))))</f>
        <v>0</v>
      </c>
      <c r="Z283" s="525">
        <f t="shared" ref="Z283:Z307" si="410">IF($E283="C",$W283,IF($E283="F",$X283,IF($E283="M",1,0)))</f>
        <v>0</v>
      </c>
      <c r="AA283" s="525">
        <f t="shared" ref="AA283:AA307" si="411">IF(ISBLANK(E283), 0, IF($O$9="L", $Y283, IF($O$9 = "H", 1, IF($O$9="M", 0.8, " "))))</f>
        <v>0</v>
      </c>
      <c r="AB283" s="525">
        <f t="shared" ref="AB283:AB307" si="412">IF(I283&gt;0, Z283*AA283, 0)</f>
        <v>0</v>
      </c>
      <c r="AC283" s="524">
        <f>IF(ISBLANK(N283),0,IF(ISNA(VLOOKUP($N283,Veg_Parameters!$A$3:$N$65,10,FALSE)),0,(VLOOKUP($N283,Veg_Parameters!$A$3:$N$65,10,FALSE))))</f>
        <v>0</v>
      </c>
      <c r="AD283" s="524">
        <f>IF(ISBLANK(N283),0,IF(ISNA(VLOOKUP($N283,Veg_Parameters!$A$3:$N$65,11,FALSE)),0,(VLOOKUP($N283,Veg_Parameters!$A$3:$N$65,11,FALSE))))</f>
        <v>0</v>
      </c>
      <c r="AE283" s="524">
        <f>IF(ISBLANK(N283), 0, IF(ISNA(VLOOKUP($N283,Veg_Parameters!$A$3:$N$65,12,FALSE)),0,(VLOOKUP($N283,Veg_Parameters!$A$3:$N$65,12,FALSE))))</f>
        <v>0</v>
      </c>
      <c r="AF283" s="523">
        <f t="shared" ref="AF283:AF307" si="413">IF(N283="", 0,IF($E283="C",W283,IF($E283="F",X283,IF($E283="M",1," "))))</f>
        <v>0</v>
      </c>
      <c r="AG283" s="523">
        <f t="shared" ref="AG283:AG307" si="414">IF(N283="", 0,IF($O$9="L", $AE283, IF($O$9 = "H", 1, IF($O$9="M", 0.8, ""))))</f>
        <v>0</v>
      </c>
      <c r="AH283" s="523">
        <f t="shared" ref="AH283:AH307" si="415">IF(N283&gt;0, AF283*AG283, 0)</f>
        <v>0</v>
      </c>
      <c r="AI283" s="526"/>
      <c r="AJ283" s="527">
        <f>AB283*(IF(ISNA(VLOOKUP($I283,Veg_Parameters!$A$3:$N$65,5,FALSE)),0,(VLOOKUP($I283,Veg_Parameters!$A$3:$N$65,5,FALSE))))</f>
        <v>0</v>
      </c>
      <c r="AK283" s="527">
        <f>IF(ISNA(VLOOKUP($I283,Veg_Parameters!$A$3:$N$65,4,FALSE)),0,(VLOOKUP($I283,Veg_Parameters!$A$3:$N$65,4,FALSE)))</f>
        <v>0</v>
      </c>
      <c r="AL283" s="527">
        <f>AB283*(IF(ISNA(VLOOKUP($I283,Veg_Parameters!$A$3:$N$65,7,FALSE)),0, (VLOOKUP($I283,Veg_Parameters!$A$3:$N$65,7,FALSE))))</f>
        <v>0</v>
      </c>
      <c r="AM283" s="528">
        <f>IF(ISNA(VLOOKUP($I283,Veg_Parameters!$A$3:$N$65,6,FALSE)), 0, (VLOOKUP($I283,Veg_Parameters!$A$3:$N$65,6,FALSE)))</f>
        <v>0</v>
      </c>
      <c r="AN283" s="529">
        <f t="shared" ref="AN283:AN307" si="416">IF($O$7=1,J283+$O$8,J283)</f>
        <v>20</v>
      </c>
      <c r="AO283" s="529">
        <f t="shared" ref="AO283:AO307" si="417">IF(AJ283&gt;0, AK283*(1-EXP(-AJ283*AN283/AK283)), 0)</f>
        <v>0</v>
      </c>
      <c r="AP283" s="529">
        <f t="shared" ref="AP283:AP307" si="418">IF(K283&gt;0, K283*0.3048, AO283)</f>
        <v>0</v>
      </c>
      <c r="AQ283" s="530">
        <f>IF(AL283&gt;0, AM283*(1-EXP(-AL283*AN283/AM283)), 0)</f>
        <v>0</v>
      </c>
      <c r="AR283" s="527" t="s">
        <v>3</v>
      </c>
      <c r="AS283" s="527">
        <f>IF(ISNA(VLOOKUP($I283,Veg_Parameters!$A$3:$N$65,8,FALSE)), 0, (VLOOKUP($I283,Veg_Parameters!$A$3:$N$65,8,FALSE)))</f>
        <v>0</v>
      </c>
      <c r="AT283" s="527">
        <f>AB283*(IF(ISNA(VLOOKUP($I283,Veg_Parameters!$A$3:$N$65,9,FALSE)), 0, (VLOOKUP($I283,Veg_Parameters!$A$3:$N$65,9,FALSE))))</f>
        <v>0</v>
      </c>
      <c r="AU283" s="527">
        <f>IF(ISBLANK(A283),0,VLOOKUP($I283,Veg_Parameters!$A$4:$U$65,21,))</f>
        <v>0</v>
      </c>
      <c r="AV283" s="527">
        <f>IF(OR(I283=3500,I283=3600),U283,0)</f>
        <v>0</v>
      </c>
      <c r="AW283" s="529">
        <f>IF(AT283&gt;0, AS283*(1-EXP(-AT283*AN283/AS283)),0)</f>
        <v>0</v>
      </c>
      <c r="AX283" s="529">
        <f>PI()*(0.5*AW283)^2</f>
        <v>0</v>
      </c>
      <c r="AY283" s="529">
        <f t="shared" ref="AY283:AY307" si="419">IF(AX283*L283*($D283/1000)&lt;$U283, AX283*L283*($D283/1000), $U283)</f>
        <v>0</v>
      </c>
      <c r="AZ283" s="529">
        <f>+IF(AP283&gt;4.6,AY283,0)</f>
        <v>0</v>
      </c>
      <c r="BA283" s="529">
        <f>IF(AND(AP283&gt;0.9,AP283&lt;4.6),AY283,IF(AP283&gt;4.6,0.5*AY283,0))</f>
        <v>0</v>
      </c>
      <c r="BB283" s="529">
        <f>IF(AND(AP283&gt;0,AP283&lt;0.9),AY283,IF(AND(AP283&gt;0.9,AP283&lt;4.6),AY283*0.5,IF(AP283&gt;4.6,AY283*0.25,0)))</f>
        <v>0</v>
      </c>
      <c r="BC283" s="529">
        <f t="shared" ref="BC283:BC307" si="420">IF(ISBLANK(A283),0,(AY283*AU283))</f>
        <v>0</v>
      </c>
      <c r="BD283" s="531"/>
      <c r="BE283" s="527">
        <f>AH283*(IF(ISNA(VLOOKUP($N283,Veg_Parameters!$A$3:$N$65,5,FALSE)),0,(VLOOKUP($N283,Veg_Parameters!$A$3:$N$65,5,FALSE))))</f>
        <v>0</v>
      </c>
      <c r="BF283" s="527">
        <f>IF(ISNA(VLOOKUP($N283,Veg_Parameters!$A$3:$N$65,4,FALSE)),0,(VLOOKUP($N283,Veg_Parameters!$A$3:$N$65,4,FALSE)))</f>
        <v>0</v>
      </c>
      <c r="BG283" s="527">
        <f>AH283*(IF(ISNA(VLOOKUP($N283,Veg_Parameters!$A$3:$N$65,7,FALSE)),0, (VLOOKUP($N283,Veg_Parameters!$A$3:$N$65,7,FALSE))))</f>
        <v>0</v>
      </c>
      <c r="BH283" s="527">
        <f>IF(ISNA(VLOOKUP($N283,Veg_Parameters!$A$3:$N$65,6,FALSE)), 0, (VLOOKUP($N283,Veg_Parameters!$A$3:$N$65,6,FALSE)))</f>
        <v>0</v>
      </c>
      <c r="BI283" s="529">
        <f t="shared" ref="BI283:BI307" si="421">IF($O$7=1,O283+$O$8,O283)</f>
        <v>20</v>
      </c>
      <c r="BJ283" s="529">
        <f>IF(BE283&gt;0, BF283*(1-EXP(-BE283*BI283/BF283)), 0)</f>
        <v>0</v>
      </c>
      <c r="BK283" s="529">
        <f t="shared" ref="BK283:BK307" si="422">IF(P283&gt;0, P283*0.3048, BJ283)</f>
        <v>0</v>
      </c>
      <c r="BL283" s="530">
        <f>IF(BG283&gt;0, BH283*(1-EXP(-BG283*BI283/BH283)), 0)</f>
        <v>0</v>
      </c>
      <c r="BM283" s="527" t="s">
        <v>3</v>
      </c>
      <c r="BN283" s="527">
        <f>IF(ISNA(VLOOKUP(N283,Veg_Parameters!$A$3:$N$65,8,FALSE)), 0, (VLOOKUP($N283,Veg_Parameters!$A$3:$N$65,8,FALSE)))</f>
        <v>0</v>
      </c>
      <c r="BO283" s="527">
        <f>AH283*(IF(ISNA(VLOOKUP($N283,Veg_Parameters!$A$3:$N$65,9,FALSE)), 0, (VLOOKUP($N283,Veg_Parameters!$A$3:$N$65,9,FALSE))))</f>
        <v>0</v>
      </c>
      <c r="BP283" s="527" t="str">
        <f>IF(ISBLANK(N283),"0",VLOOKUP($N283,Veg_Parameters!$A$4:$U$65,21,))</f>
        <v>0</v>
      </c>
      <c r="BQ283" s="529">
        <f>IF(BO283&gt;0, BN283*(1-EXP(-BO283*BI283/BN283)),0)</f>
        <v>0</v>
      </c>
      <c r="BR283" s="529">
        <f>PI()*(0.5*BQ283)^2</f>
        <v>0</v>
      </c>
      <c r="BS283" s="529">
        <f t="shared" ref="BS283:BS307" si="423">IF(BR283*Q283*($D283/1000)&lt;$U283, BR283*Q283*($D283/1000), $U283)</f>
        <v>0</v>
      </c>
      <c r="BT283" s="529">
        <f>+IF(BK283&gt;4.6,BS283,0)</f>
        <v>0</v>
      </c>
      <c r="BU283" s="529">
        <f>IF(AND(BK283&lt;4.6,BK283&gt;0.9),BS283,IF(BK283&gt;4.6,(0.5*BS283),0))</f>
        <v>0</v>
      </c>
      <c r="BV283" s="529">
        <f>IF(AND(BK283&gt;0,BK283&lt;0.9),BS283,IF(AND(BK283&gt;0.9,BK283&lt;4.6),BS283*0.5,IF(BK283&gt;4.6,(BS283*0.25),0)))</f>
        <v>0</v>
      </c>
      <c r="BW283" s="532" t="str">
        <f t="shared" ref="BW283:BW307" si="424">IF(AP283&gt;4.57,I283,"")</f>
        <v/>
      </c>
      <c r="BX283" s="532" t="str">
        <f t="shared" ref="BX283:BX307" si="425">IF(BK283&gt;4.57,N283,"")</f>
        <v/>
      </c>
      <c r="BY283" s="532" t="str">
        <f t="shared" ref="BY283:BY307" si="426">IF((AND(AP283&gt;0.76,AP283&lt;4.6)),I283,"")</f>
        <v/>
      </c>
      <c r="BZ283" s="532" t="str">
        <f t="shared" ref="BZ283:BZ307" si="427">IF((AND(BK283&gt;0.76,BK283&lt;4.6)),N283,"")</f>
        <v/>
      </c>
      <c r="CA283" s="532">
        <f t="shared" ref="CA283:CA307" si="428">IF(ISBLANK(N283),0,(BS283*BP283))</f>
        <v>0</v>
      </c>
      <c r="CB283" s="533"/>
      <c r="CC283" s="624">
        <f t="shared" ref="CC283:CC307" si="429">IF(ISERROR(IF((AY283+BS283)&lt;$U283,(AY283*AQ283+BS283*BL283),(((AQ283*AY283+BL283*BS283)/(AY283+BS283))*$U283))),0,IF((AY283+BS283)&lt;$U283,(AY283*AQ283+BS283*BL283),(((AQ283*AY283+BL283*BS283)/(AY283+BS283))*$U283)))</f>
        <v>0</v>
      </c>
      <c r="CD283" s="534">
        <f t="shared" ref="CD283:CD307" si="430">IF(ISERROR(IF((AZ283+BT283)&lt;$U283,(AQ283*AZ283+BT283*BL283),(((AQ283*AZ283+BL283*BT283)/(AZ283+BT283))*$U283))),0,IF((AZ283+BT283)&lt;$U283,(AQ283*AZ283+BT283*BL283),(((AQ283*AZ283+BL283*BT283)/(AZ283+BT283))*$U283)))</f>
        <v>0</v>
      </c>
      <c r="CE283" s="534">
        <f t="shared" ref="CE283:CE307" si="431">IF(ISERROR(IF((BA283+BU283)&lt;$U283,(AQ283*BA283+BL283*BU283),(((AQ283*BA283+BL283*BU283)/(BA283+BU283))*$U283))),0,IF((BA283+BU283)&lt;$U283,(AQ283*BA283+BL283*BU283),(((AQ283*BA283+BL283*BU283)/(BA283+BU283))*$U283)))</f>
        <v>0</v>
      </c>
      <c r="CF283" s="534">
        <f t="shared" ref="CF283:CF307" si="432">+IF(ISBLANK(A283),0,IF((BB283+BV283+(G283/100)*U283)&gt;U283,U283,(BB283+BV283+(G283/100)*U283)))</f>
        <v>0</v>
      </c>
      <c r="CG283" s="534"/>
      <c r="CH283" s="534"/>
      <c r="CI283" s="534">
        <f>BC283+CA283</f>
        <v>0</v>
      </c>
      <c r="CL283" s="534">
        <f>IF(ISNA(VLOOKUP(I283,Veg_Parameters!$A$3:$N$65,13,FALSE)),0,(VLOOKUP(I283,Veg_Parameters!$A$3:$N$65,13,FALSE)))</f>
        <v>0</v>
      </c>
      <c r="CM283" s="534">
        <f>+IF(ISBLANK(A283),0,IF(CL283="H",BB283,0))</f>
        <v>0</v>
      </c>
      <c r="CN283" s="534">
        <f>IF(ISNA(VLOOKUP(N283,Veg_Parameters!$A$3:$N$65,13,FALSE)),0,(VLOOKUP(N283,Veg_Parameters!$A$3:$N$65,13,FALSE)))</f>
        <v>0</v>
      </c>
      <c r="CO283" s="523">
        <f>+IF(ISBLANK(A283),0, IF(CN283="H", BV283, 0))</f>
        <v>0</v>
      </c>
    </row>
    <row r="284" spans="1:93" x14ac:dyDescent="0.2">
      <c r="A284" s="230"/>
      <c r="B284" s="171"/>
      <c r="C284" s="230"/>
      <c r="D284" s="169"/>
      <c r="E284" s="165"/>
      <c r="F284" s="165"/>
      <c r="G284" s="165"/>
      <c r="H284" s="165"/>
      <c r="I284" s="166"/>
      <c r="J284" s="167"/>
      <c r="K284" s="166"/>
      <c r="L284" s="166"/>
      <c r="M284" s="167"/>
      <c r="N284" s="166"/>
      <c r="O284" s="166"/>
      <c r="P284" s="167"/>
      <c r="Q284" s="167"/>
      <c r="R284" s="167"/>
      <c r="S284" s="222" t="str">
        <f>IF(ISBLANK(A284),"",IF(ISNA(VLOOKUP(I284,Veg_Parameters!$A$3:$N$65,3,FALSE)),0,(VLOOKUP(I284,Veg_Parameters!$A$3:$N$65,3,FALSE))))</f>
        <v/>
      </c>
      <c r="T284" s="222" t="str">
        <f>IF(ISBLANK(N284),"",IF(ISNA(VLOOKUP(N284,Veg_Parameters!$A$3:$N$65,3,FALSE)),0,(VLOOKUP(N284,Veg_Parameters!$A$3:$N$65,3,FALSE))))</f>
        <v/>
      </c>
      <c r="U284" s="523">
        <f t="shared" ref="U284:U307" si="433">IF(ISBLANK(A284),0,0.092903*D284)</f>
        <v>0</v>
      </c>
      <c r="V284" s="523">
        <f t="shared" si="409"/>
        <v>0</v>
      </c>
      <c r="W284" s="524">
        <f>IF(ISBLANK(A284),0,IF(ISNA(VLOOKUP($I284,Veg_Parameters!$A$3:$N$65,10,FALSE)),0,(VLOOKUP($I284,Veg_Parameters!$A$3:$N$65,10,FALSE))))</f>
        <v>0</v>
      </c>
      <c r="X284" s="524">
        <f>IF(ISBLANK(A284),0,IF(ISNA(VLOOKUP($I284,Veg_Parameters!$A$3:$N$65,11,FALSE)),0,(VLOOKUP($I284,Veg_Parameters!$A$3:$N$65,11,FALSE))))</f>
        <v>0</v>
      </c>
      <c r="Y284" s="524">
        <f>IF(ISBLANK(A284),0,IF(ISNA(VLOOKUP($I284,Veg_Parameters!$A$3:$N$65,12,FALSE)),0,(VLOOKUP($I284,Veg_Parameters!$A$3:$N$65,12,FALSE))))</f>
        <v>0</v>
      </c>
      <c r="Z284" s="525">
        <f t="shared" si="410"/>
        <v>0</v>
      </c>
      <c r="AA284" s="525">
        <f t="shared" si="411"/>
        <v>0</v>
      </c>
      <c r="AB284" s="525">
        <f t="shared" si="412"/>
        <v>0</v>
      </c>
      <c r="AC284" s="524">
        <f>IF(ISBLANK(N284),0,IF(ISNA(VLOOKUP($N284,Veg_Parameters!$A$3:$N$65,10,FALSE)),0,(VLOOKUP($N284,Veg_Parameters!$A$3:$N$65,10,FALSE))))</f>
        <v>0</v>
      </c>
      <c r="AD284" s="524">
        <f>IF(ISBLANK(N284),0,IF(ISNA(VLOOKUP($N284,Veg_Parameters!$A$3:$N$65,11,FALSE)),0,(VLOOKUP($N284,Veg_Parameters!$A$3:$N$65,11,FALSE))))</f>
        <v>0</v>
      </c>
      <c r="AE284" s="524">
        <f>IF(ISBLANK(N284), 0, IF(ISNA(VLOOKUP($N284,Veg_Parameters!$A$3:$N$65,12,FALSE)),0,(VLOOKUP($N284,Veg_Parameters!$A$3:$N$65,12,FALSE))))</f>
        <v>0</v>
      </c>
      <c r="AF284" s="523">
        <f t="shared" si="413"/>
        <v>0</v>
      </c>
      <c r="AG284" s="523">
        <f t="shared" si="414"/>
        <v>0</v>
      </c>
      <c r="AH284" s="523">
        <f t="shared" si="415"/>
        <v>0</v>
      </c>
      <c r="AI284" s="526"/>
      <c r="AJ284" s="527">
        <f>AB284*(IF(ISNA(VLOOKUP($I284,Veg_Parameters!$A$3:$N$65,5,FALSE)),0,(VLOOKUP($I284,Veg_Parameters!$A$3:$N$65,5,FALSE))))</f>
        <v>0</v>
      </c>
      <c r="AK284" s="527">
        <f>IF(ISNA(VLOOKUP($I284,Veg_Parameters!$A$3:$N$65,4,FALSE)),0,(VLOOKUP($I284,Veg_Parameters!$A$3:$N$65,4,FALSE)))</f>
        <v>0</v>
      </c>
      <c r="AL284" s="527">
        <f>AB284*(IF(ISNA(VLOOKUP($I284,Veg_Parameters!$A$3:$N$65,7,FALSE)),0, (VLOOKUP($I284,Veg_Parameters!$A$3:$N$65,7,FALSE))))</f>
        <v>0</v>
      </c>
      <c r="AM284" s="528">
        <f>IF(ISNA(VLOOKUP($I284,Veg_Parameters!$A$3:$N$65,6,FALSE)), 0, (VLOOKUP($I284,Veg_Parameters!$A$3:$N$65,6,FALSE)))</f>
        <v>0</v>
      </c>
      <c r="AN284" s="529">
        <f t="shared" si="416"/>
        <v>20</v>
      </c>
      <c r="AO284" s="529">
        <f t="shared" si="417"/>
        <v>0</v>
      </c>
      <c r="AP284" s="529">
        <f t="shared" si="418"/>
        <v>0</v>
      </c>
      <c r="AQ284" s="530">
        <f t="shared" ref="AQ284:AQ307" si="434">IF(AL284&gt;0, AM284*(1-EXP(-AL284*AN284/AM284)), 0)</f>
        <v>0</v>
      </c>
      <c r="AR284" s="527" t="s">
        <v>3</v>
      </c>
      <c r="AS284" s="527">
        <f>IF(ISNA(VLOOKUP($I284,Veg_Parameters!$A$3:$N$65,8,FALSE)), 0, (VLOOKUP($I284,Veg_Parameters!$A$3:$N$65,8,FALSE)))</f>
        <v>0</v>
      </c>
      <c r="AT284" s="527">
        <f>AB284*(IF(ISNA(VLOOKUP($I284,Veg_Parameters!$A$3:$N$65,9,FALSE)), 0, (VLOOKUP($I284,Veg_Parameters!$A$3:$N$65,9,FALSE))))</f>
        <v>0</v>
      </c>
      <c r="AU284" s="527">
        <f>IF(ISBLANK(A284),0,VLOOKUP($I284,Veg_Parameters!$A$4:$U$65,21,))</f>
        <v>0</v>
      </c>
      <c r="AV284" s="527">
        <f t="shared" ref="AV284:AV307" si="435">IF(OR(I284=3500,I284=3600),U284,0)</f>
        <v>0</v>
      </c>
      <c r="AW284" s="529">
        <f t="shared" ref="AW284:AW307" si="436">IF(AT284&gt;0, AS284*(1-EXP(-AT284*AN284/AS284)),0)</f>
        <v>0</v>
      </c>
      <c r="AX284" s="529">
        <f t="shared" ref="AX284:AX307" si="437">PI()*(0.5*AW284)^2</f>
        <v>0</v>
      </c>
      <c r="AY284" s="529">
        <f t="shared" si="419"/>
        <v>0</v>
      </c>
      <c r="AZ284" s="529">
        <f t="shared" ref="AZ284:AZ307" si="438">+IF(AP284&gt;4.6,AY284,0)</f>
        <v>0</v>
      </c>
      <c r="BA284" s="529">
        <f t="shared" ref="BA284:BA307" si="439">IF(AND(AP284&gt;0.9,AP284&lt;4.6),AY284,IF(AP284&gt;4.6,0.5*AY284,0))</f>
        <v>0</v>
      </c>
      <c r="BB284" s="529">
        <f t="shared" ref="BB284:BB307" si="440">IF(AND(AP284&gt;0,AP284&lt;0.9),AY284,IF(AND(AP284&gt;0.9,AP284&lt;4.6),AY284*0.5,IF(AP284&gt;4.6,AY284*0.25,0)))</f>
        <v>0</v>
      </c>
      <c r="BC284" s="529">
        <f t="shared" si="420"/>
        <v>0</v>
      </c>
      <c r="BD284" s="531"/>
      <c r="BE284" s="527">
        <f>AH284*(IF(ISNA(VLOOKUP($N284,Veg_Parameters!$A$3:$N$65,5,FALSE)),0,(VLOOKUP($N284,Veg_Parameters!$A$3:$N$65,5,FALSE))))</f>
        <v>0</v>
      </c>
      <c r="BF284" s="527">
        <f>IF(ISNA(VLOOKUP($N284,Veg_Parameters!$A$3:$N$65,4,FALSE)),0,(VLOOKUP($N284,Veg_Parameters!$A$3:$N$65,4,FALSE)))</f>
        <v>0</v>
      </c>
      <c r="BG284" s="527">
        <f>AH284*(IF(ISNA(VLOOKUP($N284,Veg_Parameters!$A$3:$N$65,7,FALSE)),0, (VLOOKUP($N284,Veg_Parameters!$A$3:$N$65,7,FALSE))))</f>
        <v>0</v>
      </c>
      <c r="BH284" s="527">
        <f>IF(ISNA(VLOOKUP($N284,Veg_Parameters!$A$3:$N$65,6,FALSE)), 0, (VLOOKUP($N284,Veg_Parameters!$A$3:$N$65,6,FALSE)))</f>
        <v>0</v>
      </c>
      <c r="BI284" s="529">
        <f t="shared" si="421"/>
        <v>20</v>
      </c>
      <c r="BJ284" s="529">
        <f t="shared" ref="BJ284:BJ307" si="441">IF(BE284&gt;0, BF284*(1-EXP(-BE284*BI284/BF284)), 0)</f>
        <v>0</v>
      </c>
      <c r="BK284" s="529">
        <f t="shared" si="422"/>
        <v>0</v>
      </c>
      <c r="BL284" s="530">
        <f t="shared" ref="BL284:BL307" si="442">IF(BG284&gt;0, BH284*(1-EXP(-BG284*BI284/BH284)), 0)</f>
        <v>0</v>
      </c>
      <c r="BM284" s="527" t="s">
        <v>3</v>
      </c>
      <c r="BN284" s="527">
        <f>IF(ISNA(VLOOKUP(N284,Veg_Parameters!$A$3:$N$65,8,FALSE)), 0, (VLOOKUP($N284,Veg_Parameters!$A$3:$N$65,8,FALSE)))</f>
        <v>0</v>
      </c>
      <c r="BO284" s="527">
        <f>AH284*(IF(ISNA(VLOOKUP($N284,Veg_Parameters!$A$3:$N$65,9,FALSE)), 0, (VLOOKUP($N284,Veg_Parameters!$A$3:$N$65,9,FALSE))))</f>
        <v>0</v>
      </c>
      <c r="BP284" s="527" t="str">
        <f>IF(ISBLANK(N284),"0",VLOOKUP($N284,Veg_Parameters!$A$4:$U$65,21,))</f>
        <v>0</v>
      </c>
      <c r="BQ284" s="529">
        <f t="shared" ref="BQ284:BQ307" si="443">IF(BO284&gt;0, BN284*(1-EXP(-BO284*BI284/BN284)),0)</f>
        <v>0</v>
      </c>
      <c r="BR284" s="529">
        <f t="shared" ref="BR284:BR307" si="444">PI()*(0.5*BQ284)^2</f>
        <v>0</v>
      </c>
      <c r="BS284" s="529">
        <f t="shared" si="423"/>
        <v>0</v>
      </c>
      <c r="BT284" s="529">
        <f t="shared" ref="BT284:BT307" si="445">+IF(BK284&gt;4.6,BS284,0)</f>
        <v>0</v>
      </c>
      <c r="BU284" s="529">
        <f t="shared" ref="BU284:BU307" si="446">IF(AND(BK284&lt;4.6,BK284&gt;0.9),BS284,IF(BK284&gt;4.6,(0.5*BS284),0))</f>
        <v>0</v>
      </c>
      <c r="BV284" s="529">
        <f t="shared" ref="BV284:BV307" si="447">IF(AND(BK284&gt;0,BK284&lt;0.9),BS284,IF(AND(BK284&gt;0.9,BK284&lt;4.6),BS284*0.5,IF(BK284&gt;4.6,(BS284*0.25),0)))</f>
        <v>0</v>
      </c>
      <c r="BW284" s="532" t="str">
        <f t="shared" si="424"/>
        <v/>
      </c>
      <c r="BX284" s="532" t="str">
        <f t="shared" si="425"/>
        <v/>
      </c>
      <c r="BY284" s="532" t="str">
        <f t="shared" si="426"/>
        <v/>
      </c>
      <c r="BZ284" s="532" t="str">
        <f t="shared" si="427"/>
        <v/>
      </c>
      <c r="CA284" s="532">
        <f t="shared" si="428"/>
        <v>0</v>
      </c>
      <c r="CB284" s="533"/>
      <c r="CC284" s="624">
        <f t="shared" si="429"/>
        <v>0</v>
      </c>
      <c r="CD284" s="534">
        <f t="shared" si="430"/>
        <v>0</v>
      </c>
      <c r="CE284" s="534">
        <f t="shared" si="431"/>
        <v>0</v>
      </c>
      <c r="CF284" s="534">
        <f t="shared" si="432"/>
        <v>0</v>
      </c>
      <c r="CG284" s="534"/>
      <c r="CH284" s="534"/>
      <c r="CI284" s="534">
        <f t="shared" ref="CI284:CI307" si="448">BC284+CA284</f>
        <v>0</v>
      </c>
      <c r="CL284" s="534">
        <f>IF(ISNA(VLOOKUP(I284,Veg_Parameters!$A$3:$N$65,13,FALSE)),0,(VLOOKUP(I284,Veg_Parameters!$A$3:$N$65,13,FALSE)))</f>
        <v>0</v>
      </c>
      <c r="CM284" s="534">
        <f t="shared" ref="CM284:CM307" si="449">+IF(ISBLANK(A284),0,IF(CL284="H",BB284,0))</f>
        <v>0</v>
      </c>
      <c r="CN284" s="534">
        <f>IF(ISNA(VLOOKUP(N284,Veg_Parameters!$A$3:$N$65,13,FALSE)),0,(VLOOKUP(N284,Veg_Parameters!$A$3:$N$65,13,FALSE)))</f>
        <v>0</v>
      </c>
      <c r="CO284" s="523">
        <f t="shared" ref="CO284:CO307" si="450">+IF(ISBLANK(A284),0, IF(CN284="H", BV284, 0))</f>
        <v>0</v>
      </c>
    </row>
    <row r="285" spans="1:93" x14ac:dyDescent="0.2">
      <c r="A285" s="230"/>
      <c r="B285" s="171" t="str">
        <f t="shared" ref="B285:B307" si="451">IF(ISBLANK(A285),"",$B$283)</f>
        <v/>
      </c>
      <c r="C285" s="230"/>
      <c r="D285" s="169"/>
      <c r="E285" s="165"/>
      <c r="F285" s="165"/>
      <c r="G285" s="165"/>
      <c r="H285" s="165"/>
      <c r="I285" s="168"/>
      <c r="J285" s="167"/>
      <c r="K285" s="166"/>
      <c r="L285" s="166"/>
      <c r="M285" s="167"/>
      <c r="N285" s="168"/>
      <c r="O285" s="168"/>
      <c r="P285" s="167"/>
      <c r="Q285" s="167"/>
      <c r="R285" s="167"/>
      <c r="S285" s="222" t="str">
        <f>IF(ISBLANK(A285),"",IF(ISNA(VLOOKUP(I285,Veg_Parameters!$A$3:$N$65,3,FALSE)),0,(VLOOKUP(I285,Veg_Parameters!$A$3:$N$65,3,FALSE))))</f>
        <v/>
      </c>
      <c r="T285" s="222" t="str">
        <f>IF(ISBLANK(N285),"",IF(ISNA(VLOOKUP(N285,Veg_Parameters!$A$3:$N$65,3,FALSE)),0,(VLOOKUP(N285,Veg_Parameters!$A$3:$N$65,3,FALSE))))</f>
        <v/>
      </c>
      <c r="U285" s="523">
        <f t="shared" si="433"/>
        <v>0</v>
      </c>
      <c r="V285" s="523">
        <f t="shared" si="409"/>
        <v>0</v>
      </c>
      <c r="W285" s="524">
        <f>IF(ISBLANK(A285),0,IF(ISNA(VLOOKUP($I285,Veg_Parameters!$A$3:$N$65,10,FALSE)),0,(VLOOKUP($I285,Veg_Parameters!$A$3:$N$65,10,FALSE))))</f>
        <v>0</v>
      </c>
      <c r="X285" s="524">
        <f>IF(ISBLANK(A285),0,IF(ISNA(VLOOKUP($I285,Veg_Parameters!$A$3:$N$65,11,FALSE)),0,(VLOOKUP($I285,Veg_Parameters!$A$3:$N$65,11,FALSE))))</f>
        <v>0</v>
      </c>
      <c r="Y285" s="524">
        <f>IF(ISBLANK(A285),0,IF(ISNA(VLOOKUP($I285,Veg_Parameters!$A$3:$N$65,12,FALSE)),0,(VLOOKUP($I285,Veg_Parameters!$A$3:$N$65,12,FALSE))))</f>
        <v>0</v>
      </c>
      <c r="Z285" s="525">
        <f t="shared" si="410"/>
        <v>0</v>
      </c>
      <c r="AA285" s="525">
        <f t="shared" si="411"/>
        <v>0</v>
      </c>
      <c r="AB285" s="525">
        <f t="shared" si="412"/>
        <v>0</v>
      </c>
      <c r="AC285" s="524">
        <f>IF(ISBLANK(N285),0,IF(ISNA(VLOOKUP($N285,Veg_Parameters!$A$3:$N$65,10,FALSE)),0,(VLOOKUP($N285,Veg_Parameters!$A$3:$N$65,10,FALSE))))</f>
        <v>0</v>
      </c>
      <c r="AD285" s="524">
        <f>IF(ISBLANK(N285),0,IF(ISNA(VLOOKUP($N285,Veg_Parameters!$A$3:$N$65,11,FALSE)),0,(VLOOKUP($N285,Veg_Parameters!$A$3:$N$65,11,FALSE))))</f>
        <v>0</v>
      </c>
      <c r="AE285" s="524">
        <f>IF(ISBLANK(N285), 0, IF(ISNA(VLOOKUP($N285,Veg_Parameters!$A$3:$N$65,12,FALSE)),0,(VLOOKUP($N285,Veg_Parameters!$A$3:$N$65,12,FALSE))))</f>
        <v>0</v>
      </c>
      <c r="AF285" s="523">
        <f t="shared" si="413"/>
        <v>0</v>
      </c>
      <c r="AG285" s="523">
        <f t="shared" si="414"/>
        <v>0</v>
      </c>
      <c r="AH285" s="523">
        <f t="shared" si="415"/>
        <v>0</v>
      </c>
      <c r="AI285" s="526"/>
      <c r="AJ285" s="527">
        <f>AB285*(IF(ISNA(VLOOKUP($I285,Veg_Parameters!$A$3:$N$65,5,FALSE)),0,(VLOOKUP($I285,Veg_Parameters!$A$3:$N$65,5,FALSE))))</f>
        <v>0</v>
      </c>
      <c r="AK285" s="527">
        <f>IF(ISNA(VLOOKUP($I285,Veg_Parameters!$A$3:$N$65,4,FALSE)),0,(VLOOKUP($I285,Veg_Parameters!$A$3:$N$65,4,FALSE)))</f>
        <v>0</v>
      </c>
      <c r="AL285" s="527">
        <f>AB285*(IF(ISNA(VLOOKUP($I285,Veg_Parameters!$A$3:$N$65,7,FALSE)),0, (VLOOKUP($I285,Veg_Parameters!$A$3:$N$65,7,FALSE))))</f>
        <v>0</v>
      </c>
      <c r="AM285" s="528">
        <f>IF(ISNA(VLOOKUP($I285,Veg_Parameters!$A$3:$N$65,6,FALSE)), 0, (VLOOKUP($I285,Veg_Parameters!$A$3:$N$65,6,FALSE)))</f>
        <v>0</v>
      </c>
      <c r="AN285" s="529">
        <f t="shared" si="416"/>
        <v>20</v>
      </c>
      <c r="AO285" s="529">
        <f t="shared" si="417"/>
        <v>0</v>
      </c>
      <c r="AP285" s="529">
        <f t="shared" si="418"/>
        <v>0</v>
      </c>
      <c r="AQ285" s="530">
        <f t="shared" si="434"/>
        <v>0</v>
      </c>
      <c r="AR285" s="527" t="s">
        <v>3</v>
      </c>
      <c r="AS285" s="527">
        <f>IF(ISNA(VLOOKUP($I285,Veg_Parameters!$A$3:$N$65,8,FALSE)), 0, (VLOOKUP($I285,Veg_Parameters!$A$3:$N$65,8,FALSE)))</f>
        <v>0</v>
      </c>
      <c r="AT285" s="527">
        <f>AB285*(IF(ISNA(VLOOKUP($I285,Veg_Parameters!$A$3:$N$65,9,FALSE)), 0, (VLOOKUP($I285,Veg_Parameters!$A$3:$N$65,9,FALSE))))</f>
        <v>0</v>
      </c>
      <c r="AU285" s="527">
        <f>IF(ISBLANK(A285),0,VLOOKUP($I285,Veg_Parameters!$A$4:$U$65,21,))</f>
        <v>0</v>
      </c>
      <c r="AV285" s="527">
        <f t="shared" si="435"/>
        <v>0</v>
      </c>
      <c r="AW285" s="529">
        <f t="shared" si="436"/>
        <v>0</v>
      </c>
      <c r="AX285" s="529">
        <f t="shared" si="437"/>
        <v>0</v>
      </c>
      <c r="AY285" s="529">
        <f t="shared" si="419"/>
        <v>0</v>
      </c>
      <c r="AZ285" s="529">
        <f t="shared" si="438"/>
        <v>0</v>
      </c>
      <c r="BA285" s="529">
        <f t="shared" si="439"/>
        <v>0</v>
      </c>
      <c r="BB285" s="529">
        <f t="shared" si="440"/>
        <v>0</v>
      </c>
      <c r="BC285" s="529">
        <f t="shared" si="420"/>
        <v>0</v>
      </c>
      <c r="BD285" s="531"/>
      <c r="BE285" s="527">
        <f>AH285*(IF(ISNA(VLOOKUP($N285,Veg_Parameters!$A$3:$N$65,5,FALSE)),0,(VLOOKUP($N285,Veg_Parameters!$A$3:$N$65,5,FALSE))))</f>
        <v>0</v>
      </c>
      <c r="BF285" s="527">
        <f>IF(ISNA(VLOOKUP($N285,Veg_Parameters!$A$3:$N$65,4,FALSE)),0,(VLOOKUP($N285,Veg_Parameters!$A$3:$N$65,4,FALSE)))</f>
        <v>0</v>
      </c>
      <c r="BG285" s="527">
        <f>AH285*(IF(ISNA(VLOOKUP($N285,Veg_Parameters!$A$3:$N$65,7,FALSE)),0, (VLOOKUP($N285,Veg_Parameters!$A$3:$N$65,7,FALSE))))</f>
        <v>0</v>
      </c>
      <c r="BH285" s="527">
        <f>IF(ISNA(VLOOKUP($N285,Veg_Parameters!$A$3:$N$65,6,FALSE)), 0, (VLOOKUP($N285,Veg_Parameters!$A$3:$N$65,6,FALSE)))</f>
        <v>0</v>
      </c>
      <c r="BI285" s="529">
        <f t="shared" si="421"/>
        <v>20</v>
      </c>
      <c r="BJ285" s="529">
        <f t="shared" si="441"/>
        <v>0</v>
      </c>
      <c r="BK285" s="529">
        <f t="shared" si="422"/>
        <v>0</v>
      </c>
      <c r="BL285" s="530">
        <f t="shared" si="442"/>
        <v>0</v>
      </c>
      <c r="BM285" s="527" t="s">
        <v>3</v>
      </c>
      <c r="BN285" s="527">
        <f>IF(ISNA(VLOOKUP(N285,Veg_Parameters!$A$3:$N$65,8,FALSE)), 0, (VLOOKUP($N285,Veg_Parameters!$A$3:$N$65,8,FALSE)))</f>
        <v>0</v>
      </c>
      <c r="BO285" s="527">
        <f>AH285*(IF(ISNA(VLOOKUP($N285,Veg_Parameters!$A$3:$N$65,9,FALSE)), 0, (VLOOKUP($N285,Veg_Parameters!$A$3:$N$65,9,FALSE))))</f>
        <v>0</v>
      </c>
      <c r="BP285" s="527" t="str">
        <f>IF(ISBLANK(N285),"0",VLOOKUP($N285,Veg_Parameters!$A$4:$U$65,21,))</f>
        <v>0</v>
      </c>
      <c r="BQ285" s="529">
        <f t="shared" si="443"/>
        <v>0</v>
      </c>
      <c r="BR285" s="529">
        <f t="shared" si="444"/>
        <v>0</v>
      </c>
      <c r="BS285" s="529">
        <f t="shared" si="423"/>
        <v>0</v>
      </c>
      <c r="BT285" s="529">
        <f t="shared" si="445"/>
        <v>0</v>
      </c>
      <c r="BU285" s="529">
        <f t="shared" si="446"/>
        <v>0</v>
      </c>
      <c r="BV285" s="529">
        <f t="shared" si="447"/>
        <v>0</v>
      </c>
      <c r="BW285" s="532" t="str">
        <f t="shared" si="424"/>
        <v/>
      </c>
      <c r="BX285" s="532" t="str">
        <f t="shared" si="425"/>
        <v/>
      </c>
      <c r="BY285" s="532" t="str">
        <f t="shared" si="426"/>
        <v/>
      </c>
      <c r="BZ285" s="532" t="str">
        <f t="shared" si="427"/>
        <v/>
      </c>
      <c r="CA285" s="532">
        <f t="shared" si="428"/>
        <v>0</v>
      </c>
      <c r="CB285" s="533"/>
      <c r="CC285" s="624">
        <f t="shared" si="429"/>
        <v>0</v>
      </c>
      <c r="CD285" s="534">
        <f t="shared" si="430"/>
        <v>0</v>
      </c>
      <c r="CE285" s="534">
        <f t="shared" si="431"/>
        <v>0</v>
      </c>
      <c r="CF285" s="534">
        <f t="shared" si="432"/>
        <v>0</v>
      </c>
      <c r="CG285" s="534"/>
      <c r="CH285" s="534"/>
      <c r="CI285" s="534">
        <f t="shared" si="448"/>
        <v>0</v>
      </c>
      <c r="CL285" s="534">
        <f>IF(ISNA(VLOOKUP(I285,Veg_Parameters!$A$3:$N$65,13,FALSE)),0,(VLOOKUP(I285,Veg_Parameters!$A$3:$N$65,13,FALSE)))</f>
        <v>0</v>
      </c>
      <c r="CM285" s="534">
        <f t="shared" si="449"/>
        <v>0</v>
      </c>
      <c r="CN285" s="534">
        <f>IF(ISNA(VLOOKUP(N285,Veg_Parameters!$A$3:$N$65,13,FALSE)),0,(VLOOKUP(N285,Veg_Parameters!$A$3:$N$65,13,FALSE)))</f>
        <v>0</v>
      </c>
      <c r="CO285" s="523">
        <f t="shared" si="450"/>
        <v>0</v>
      </c>
    </row>
    <row r="286" spans="1:93" x14ac:dyDescent="0.2">
      <c r="A286" s="230"/>
      <c r="B286" s="171" t="str">
        <f t="shared" si="451"/>
        <v/>
      </c>
      <c r="C286" s="230"/>
      <c r="D286" s="169"/>
      <c r="E286" s="165"/>
      <c r="F286" s="165"/>
      <c r="G286" s="165"/>
      <c r="H286" s="165"/>
      <c r="I286" s="168"/>
      <c r="J286" s="167"/>
      <c r="K286" s="168"/>
      <c r="L286" s="167"/>
      <c r="M286" s="167"/>
      <c r="N286" s="168"/>
      <c r="O286" s="168"/>
      <c r="P286" s="167"/>
      <c r="Q286" s="167"/>
      <c r="R286" s="167"/>
      <c r="S286" s="222" t="str">
        <f>IF(ISBLANK(A286),"",IF(ISNA(VLOOKUP(I286,Veg_Parameters!$A$3:$N$65,3,FALSE)),0,(VLOOKUP(I286,Veg_Parameters!$A$3:$N$65,3,FALSE))))</f>
        <v/>
      </c>
      <c r="T286" s="222" t="str">
        <f>IF(ISBLANK(N286),"",IF(ISNA(VLOOKUP(N286,Veg_Parameters!$A$3:$N$65,3,FALSE)),0,(VLOOKUP(N286,Veg_Parameters!$A$3:$N$65,3,FALSE))))</f>
        <v/>
      </c>
      <c r="U286" s="523">
        <f t="shared" si="433"/>
        <v>0</v>
      </c>
      <c r="V286" s="523">
        <f t="shared" si="409"/>
        <v>0</v>
      </c>
      <c r="W286" s="524">
        <f>IF(ISBLANK(A286),0,IF(ISNA(VLOOKUP($I286,Veg_Parameters!$A$3:$N$65,10,FALSE)),0,(VLOOKUP($I286,Veg_Parameters!$A$3:$N$65,10,FALSE))))</f>
        <v>0</v>
      </c>
      <c r="X286" s="524">
        <f>IF(ISBLANK(A286),0,IF(ISNA(VLOOKUP($I286,Veg_Parameters!$A$3:$N$65,11,FALSE)),0,(VLOOKUP($I286,Veg_Parameters!$A$3:$N$65,11,FALSE))))</f>
        <v>0</v>
      </c>
      <c r="Y286" s="524">
        <f>IF(ISBLANK(A286),0,IF(ISNA(VLOOKUP($I286,Veg_Parameters!$A$3:$N$65,12,FALSE)),0,(VLOOKUP($I286,Veg_Parameters!$A$3:$N$65,12,FALSE))))</f>
        <v>0</v>
      </c>
      <c r="Z286" s="525">
        <f t="shared" si="410"/>
        <v>0</v>
      </c>
      <c r="AA286" s="525">
        <f t="shared" si="411"/>
        <v>0</v>
      </c>
      <c r="AB286" s="525">
        <f t="shared" si="412"/>
        <v>0</v>
      </c>
      <c r="AC286" s="524">
        <f>IF(ISBLANK(N286),0,IF(ISNA(VLOOKUP($N286,Veg_Parameters!$A$3:$N$65,10,FALSE)),0,(VLOOKUP($N286,Veg_Parameters!$A$3:$N$65,10,FALSE))))</f>
        <v>0</v>
      </c>
      <c r="AD286" s="524">
        <f>IF(ISBLANK(N286),0,IF(ISNA(VLOOKUP($N286,Veg_Parameters!$A$3:$N$65,11,FALSE)),0,(VLOOKUP($N286,Veg_Parameters!$A$3:$N$65,11,FALSE))))</f>
        <v>0</v>
      </c>
      <c r="AE286" s="524">
        <f>IF(ISBLANK(N286), 0, IF(ISNA(VLOOKUP($N286,Veg_Parameters!$A$3:$N$65,12,FALSE)),0,(VLOOKUP($N286,Veg_Parameters!$A$3:$N$65,12,FALSE))))</f>
        <v>0</v>
      </c>
      <c r="AF286" s="523">
        <f t="shared" si="413"/>
        <v>0</v>
      </c>
      <c r="AG286" s="523">
        <f t="shared" si="414"/>
        <v>0</v>
      </c>
      <c r="AH286" s="523">
        <f t="shared" si="415"/>
        <v>0</v>
      </c>
      <c r="AI286" s="526"/>
      <c r="AJ286" s="527">
        <f>AB286*(IF(ISNA(VLOOKUP($I286,Veg_Parameters!$A$3:$N$65,5,FALSE)),0,(VLOOKUP($I286,Veg_Parameters!$A$3:$N$65,5,FALSE))))</f>
        <v>0</v>
      </c>
      <c r="AK286" s="527">
        <f>IF(ISNA(VLOOKUP($I286,Veg_Parameters!$A$3:$N$65,4,FALSE)),0,(VLOOKUP($I286,Veg_Parameters!$A$3:$N$65,4,FALSE)))</f>
        <v>0</v>
      </c>
      <c r="AL286" s="527">
        <f>AB286*(IF(ISNA(VLOOKUP($I286,Veg_Parameters!$A$3:$N$65,7,FALSE)),0, (VLOOKUP($I286,Veg_Parameters!$A$3:$N$65,7,FALSE))))</f>
        <v>0</v>
      </c>
      <c r="AM286" s="528">
        <f>IF(ISNA(VLOOKUP($I286,Veg_Parameters!$A$3:$N$65,6,FALSE)), 0, (VLOOKUP($I286,Veg_Parameters!$A$3:$N$65,6,FALSE)))</f>
        <v>0</v>
      </c>
      <c r="AN286" s="529">
        <f t="shared" si="416"/>
        <v>20</v>
      </c>
      <c r="AO286" s="529">
        <f t="shared" si="417"/>
        <v>0</v>
      </c>
      <c r="AP286" s="529">
        <f t="shared" si="418"/>
        <v>0</v>
      </c>
      <c r="AQ286" s="530">
        <f t="shared" si="434"/>
        <v>0</v>
      </c>
      <c r="AR286" s="527" t="s">
        <v>3</v>
      </c>
      <c r="AS286" s="527">
        <f>IF(ISNA(VLOOKUP($I286,Veg_Parameters!$A$3:$N$65,8,FALSE)), 0, (VLOOKUP($I286,Veg_Parameters!$A$3:$N$65,8,FALSE)))</f>
        <v>0</v>
      </c>
      <c r="AT286" s="527">
        <f>AB286*(IF(ISNA(VLOOKUP($I286,Veg_Parameters!$A$3:$N$65,9,FALSE)), 0, (VLOOKUP($I286,Veg_Parameters!$A$3:$N$65,9,FALSE))))</f>
        <v>0</v>
      </c>
      <c r="AU286" s="527">
        <f>IF(ISBLANK(A286),0,VLOOKUP($I286,Veg_Parameters!$A$4:$U$65,21,))</f>
        <v>0</v>
      </c>
      <c r="AV286" s="527">
        <f t="shared" si="435"/>
        <v>0</v>
      </c>
      <c r="AW286" s="529">
        <f t="shared" si="436"/>
        <v>0</v>
      </c>
      <c r="AX286" s="529">
        <f t="shared" si="437"/>
        <v>0</v>
      </c>
      <c r="AY286" s="529">
        <f t="shared" si="419"/>
        <v>0</v>
      </c>
      <c r="AZ286" s="529">
        <f t="shared" si="438"/>
        <v>0</v>
      </c>
      <c r="BA286" s="529">
        <f t="shared" si="439"/>
        <v>0</v>
      </c>
      <c r="BB286" s="529">
        <f t="shared" si="440"/>
        <v>0</v>
      </c>
      <c r="BC286" s="529">
        <f t="shared" si="420"/>
        <v>0</v>
      </c>
      <c r="BD286" s="531"/>
      <c r="BE286" s="527">
        <f>AH286*(IF(ISNA(VLOOKUP($N286,Veg_Parameters!$A$3:$N$65,5,FALSE)),0,(VLOOKUP($N286,Veg_Parameters!$A$3:$N$65,5,FALSE))))</f>
        <v>0</v>
      </c>
      <c r="BF286" s="527">
        <f>IF(ISNA(VLOOKUP($N286,Veg_Parameters!$A$3:$N$65,4,FALSE)),0,(VLOOKUP($N286,Veg_Parameters!$A$3:$N$65,4,FALSE)))</f>
        <v>0</v>
      </c>
      <c r="BG286" s="527">
        <f>AH286*(IF(ISNA(VLOOKUP($N286,Veg_Parameters!$A$3:$N$65,7,FALSE)),0, (VLOOKUP($N286,Veg_Parameters!$A$3:$N$65,7,FALSE))))</f>
        <v>0</v>
      </c>
      <c r="BH286" s="527">
        <f>IF(ISNA(VLOOKUP($N286,Veg_Parameters!$A$3:$N$65,6,FALSE)), 0, (VLOOKUP($N286,Veg_Parameters!$A$3:$N$65,6,FALSE)))</f>
        <v>0</v>
      </c>
      <c r="BI286" s="529">
        <f t="shared" si="421"/>
        <v>20</v>
      </c>
      <c r="BJ286" s="529">
        <f t="shared" si="441"/>
        <v>0</v>
      </c>
      <c r="BK286" s="529">
        <f t="shared" si="422"/>
        <v>0</v>
      </c>
      <c r="BL286" s="530">
        <f t="shared" si="442"/>
        <v>0</v>
      </c>
      <c r="BM286" s="527" t="s">
        <v>3</v>
      </c>
      <c r="BN286" s="527">
        <f>IF(ISNA(VLOOKUP(N286,Veg_Parameters!$A$3:$N$65,8,FALSE)), 0, (VLOOKUP($N286,Veg_Parameters!$A$3:$N$65,8,FALSE)))</f>
        <v>0</v>
      </c>
      <c r="BO286" s="527">
        <f>AH286*(IF(ISNA(VLOOKUP($N286,Veg_Parameters!$A$3:$N$65,9,FALSE)), 0, (VLOOKUP($N286,Veg_Parameters!$A$3:$N$65,9,FALSE))))</f>
        <v>0</v>
      </c>
      <c r="BP286" s="527" t="str">
        <f>IF(ISBLANK(N286),"0",VLOOKUP($N286,Veg_Parameters!$A$4:$U$65,21,))</f>
        <v>0</v>
      </c>
      <c r="BQ286" s="529">
        <f t="shared" si="443"/>
        <v>0</v>
      </c>
      <c r="BR286" s="529">
        <f t="shared" si="444"/>
        <v>0</v>
      </c>
      <c r="BS286" s="529">
        <f t="shared" si="423"/>
        <v>0</v>
      </c>
      <c r="BT286" s="529">
        <f t="shared" si="445"/>
        <v>0</v>
      </c>
      <c r="BU286" s="529">
        <f t="shared" si="446"/>
        <v>0</v>
      </c>
      <c r="BV286" s="529">
        <f t="shared" si="447"/>
        <v>0</v>
      </c>
      <c r="BW286" s="532" t="str">
        <f t="shared" si="424"/>
        <v/>
      </c>
      <c r="BX286" s="532" t="str">
        <f t="shared" si="425"/>
        <v/>
      </c>
      <c r="BY286" s="532" t="str">
        <f t="shared" si="426"/>
        <v/>
      </c>
      <c r="BZ286" s="532" t="str">
        <f t="shared" si="427"/>
        <v/>
      </c>
      <c r="CA286" s="532">
        <f t="shared" si="428"/>
        <v>0</v>
      </c>
      <c r="CB286" s="533"/>
      <c r="CC286" s="624">
        <f t="shared" si="429"/>
        <v>0</v>
      </c>
      <c r="CD286" s="534">
        <f t="shared" si="430"/>
        <v>0</v>
      </c>
      <c r="CE286" s="534">
        <f t="shared" si="431"/>
        <v>0</v>
      </c>
      <c r="CF286" s="534">
        <f t="shared" si="432"/>
        <v>0</v>
      </c>
      <c r="CG286" s="534"/>
      <c r="CH286" s="534"/>
      <c r="CI286" s="534">
        <f t="shared" si="448"/>
        <v>0</v>
      </c>
      <c r="CL286" s="534">
        <f>IF(ISNA(VLOOKUP(I286,Veg_Parameters!$A$3:$N$65,13,FALSE)),0,(VLOOKUP(I286,Veg_Parameters!$A$3:$N$65,13,FALSE)))</f>
        <v>0</v>
      </c>
      <c r="CM286" s="534">
        <f t="shared" si="449"/>
        <v>0</v>
      </c>
      <c r="CN286" s="534">
        <f>IF(ISNA(VLOOKUP(N286,Veg_Parameters!$A$3:$N$65,13,FALSE)),0,(VLOOKUP(N286,Veg_Parameters!$A$3:$N$65,13,FALSE)))</f>
        <v>0</v>
      </c>
      <c r="CO286" s="523">
        <f t="shared" si="450"/>
        <v>0</v>
      </c>
    </row>
    <row r="287" spans="1:93" x14ac:dyDescent="0.2">
      <c r="A287" s="230"/>
      <c r="B287" s="171" t="str">
        <f t="shared" si="451"/>
        <v/>
      </c>
      <c r="C287" s="230"/>
      <c r="D287" s="169"/>
      <c r="E287" s="165"/>
      <c r="F287" s="165"/>
      <c r="G287" s="165"/>
      <c r="H287" s="165"/>
      <c r="I287" s="168"/>
      <c r="J287" s="167"/>
      <c r="K287" s="168"/>
      <c r="L287" s="167"/>
      <c r="M287" s="167"/>
      <c r="N287" s="168"/>
      <c r="O287" s="168"/>
      <c r="P287" s="167"/>
      <c r="Q287" s="167"/>
      <c r="R287" s="167"/>
      <c r="S287" s="222" t="str">
        <f>IF(ISBLANK(A287),"",IF(ISNA(VLOOKUP(I287,Veg_Parameters!$A$3:$N$65,3,FALSE)),0,(VLOOKUP(I287,Veg_Parameters!$A$3:$N$65,3,FALSE))))</f>
        <v/>
      </c>
      <c r="T287" s="222" t="str">
        <f>IF(ISBLANK(N287),"",IF(ISNA(VLOOKUP(N287,Veg_Parameters!$A$3:$N$65,3,FALSE)),0,(VLOOKUP(N287,Veg_Parameters!$A$3:$N$65,3,FALSE))))</f>
        <v/>
      </c>
      <c r="U287" s="523">
        <f t="shared" si="433"/>
        <v>0</v>
      </c>
      <c r="V287" s="523">
        <f t="shared" si="409"/>
        <v>0</v>
      </c>
      <c r="W287" s="524">
        <f>IF(ISBLANK(A287),0,IF(ISNA(VLOOKUP($I287,Veg_Parameters!$A$3:$N$65,10,FALSE)),0,(VLOOKUP($I287,Veg_Parameters!$A$3:$N$65,10,FALSE))))</f>
        <v>0</v>
      </c>
      <c r="X287" s="524">
        <f>IF(ISBLANK(A287),0,IF(ISNA(VLOOKUP($I287,Veg_Parameters!$A$3:$N$65,11,FALSE)),0,(VLOOKUP($I287,Veg_Parameters!$A$3:$N$65,11,FALSE))))</f>
        <v>0</v>
      </c>
      <c r="Y287" s="524">
        <f>IF(ISBLANK(A287),0,IF(ISNA(VLOOKUP($I287,Veg_Parameters!$A$3:$N$65,12,FALSE)),0,(VLOOKUP($I287,Veg_Parameters!$A$3:$N$65,12,FALSE))))</f>
        <v>0</v>
      </c>
      <c r="Z287" s="525">
        <f t="shared" si="410"/>
        <v>0</v>
      </c>
      <c r="AA287" s="525">
        <f t="shared" si="411"/>
        <v>0</v>
      </c>
      <c r="AB287" s="525">
        <f t="shared" si="412"/>
        <v>0</v>
      </c>
      <c r="AC287" s="524">
        <f>IF(ISBLANK(N287),0,IF(ISNA(VLOOKUP($N287,Veg_Parameters!$A$3:$N$65,10,FALSE)),0,(VLOOKUP($N287,Veg_Parameters!$A$3:$N$65,10,FALSE))))</f>
        <v>0</v>
      </c>
      <c r="AD287" s="524">
        <f>IF(ISBLANK(N287),0,IF(ISNA(VLOOKUP($N287,Veg_Parameters!$A$3:$N$65,11,FALSE)),0,(VLOOKUP($N287,Veg_Parameters!$A$3:$N$65,11,FALSE))))</f>
        <v>0</v>
      </c>
      <c r="AE287" s="524">
        <f>IF(ISBLANK(N287), 0, IF(ISNA(VLOOKUP($N287,Veg_Parameters!$A$3:$N$65,12,FALSE)),0,(VLOOKUP($N287,Veg_Parameters!$A$3:$N$65,12,FALSE))))</f>
        <v>0</v>
      </c>
      <c r="AF287" s="523">
        <f t="shared" si="413"/>
        <v>0</v>
      </c>
      <c r="AG287" s="523">
        <f t="shared" si="414"/>
        <v>0</v>
      </c>
      <c r="AH287" s="523">
        <f t="shared" si="415"/>
        <v>0</v>
      </c>
      <c r="AI287" s="526"/>
      <c r="AJ287" s="527">
        <f>AB287*(IF(ISNA(VLOOKUP($I287,Veg_Parameters!$A$3:$N$65,5,FALSE)),0,(VLOOKUP($I287,Veg_Parameters!$A$3:$N$65,5,FALSE))))</f>
        <v>0</v>
      </c>
      <c r="AK287" s="527">
        <f>IF(ISNA(VLOOKUP($I287,Veg_Parameters!$A$3:$N$65,4,FALSE)),0,(VLOOKUP($I287,Veg_Parameters!$A$3:$N$65,4,FALSE)))</f>
        <v>0</v>
      </c>
      <c r="AL287" s="527">
        <f>AB287*(IF(ISNA(VLOOKUP($I287,Veg_Parameters!$A$3:$N$65,7,FALSE)),0, (VLOOKUP($I287,Veg_Parameters!$A$3:$N$65,7,FALSE))))</f>
        <v>0</v>
      </c>
      <c r="AM287" s="528">
        <f>IF(ISNA(VLOOKUP($I287,Veg_Parameters!$A$3:$N$65,6,FALSE)), 0, (VLOOKUP($I287,Veg_Parameters!$A$3:$N$65,6,FALSE)))</f>
        <v>0</v>
      </c>
      <c r="AN287" s="529">
        <f t="shared" si="416"/>
        <v>20</v>
      </c>
      <c r="AO287" s="529">
        <f t="shared" si="417"/>
        <v>0</v>
      </c>
      <c r="AP287" s="529">
        <f t="shared" si="418"/>
        <v>0</v>
      </c>
      <c r="AQ287" s="530">
        <f t="shared" si="434"/>
        <v>0</v>
      </c>
      <c r="AR287" s="527" t="s">
        <v>3</v>
      </c>
      <c r="AS287" s="527">
        <f>IF(ISNA(VLOOKUP($I287,Veg_Parameters!$A$3:$N$65,8,FALSE)), 0, (VLOOKUP($I287,Veg_Parameters!$A$3:$N$65,8,FALSE)))</f>
        <v>0</v>
      </c>
      <c r="AT287" s="527">
        <f>AB287*(IF(ISNA(VLOOKUP($I287,Veg_Parameters!$A$3:$N$65,9,FALSE)), 0, (VLOOKUP($I287,Veg_Parameters!$A$3:$N$65,9,FALSE))))</f>
        <v>0</v>
      </c>
      <c r="AU287" s="527">
        <f>IF(ISBLANK(A287),0,VLOOKUP($I287,Veg_Parameters!$A$4:$U$65,21,))</f>
        <v>0</v>
      </c>
      <c r="AV287" s="527">
        <f t="shared" si="435"/>
        <v>0</v>
      </c>
      <c r="AW287" s="529">
        <f t="shared" si="436"/>
        <v>0</v>
      </c>
      <c r="AX287" s="529">
        <f t="shared" si="437"/>
        <v>0</v>
      </c>
      <c r="AY287" s="529">
        <f t="shared" si="419"/>
        <v>0</v>
      </c>
      <c r="AZ287" s="529">
        <f t="shared" si="438"/>
        <v>0</v>
      </c>
      <c r="BA287" s="529">
        <f t="shared" si="439"/>
        <v>0</v>
      </c>
      <c r="BB287" s="529">
        <f t="shared" si="440"/>
        <v>0</v>
      </c>
      <c r="BC287" s="529">
        <f t="shared" si="420"/>
        <v>0</v>
      </c>
      <c r="BD287" s="531"/>
      <c r="BE287" s="527">
        <f>AH287*(IF(ISNA(VLOOKUP($N287,Veg_Parameters!$A$3:$N$65,5,FALSE)),0,(VLOOKUP($N287,Veg_Parameters!$A$3:$N$65,5,FALSE))))</f>
        <v>0</v>
      </c>
      <c r="BF287" s="527">
        <f>IF(ISNA(VLOOKUP($N287,Veg_Parameters!$A$3:$N$65,4,FALSE)),0,(VLOOKUP($N287,Veg_Parameters!$A$3:$N$65,4,FALSE)))</f>
        <v>0</v>
      </c>
      <c r="BG287" s="527">
        <f>AH287*(IF(ISNA(VLOOKUP($N287,Veg_Parameters!$A$3:$N$65,7,FALSE)),0, (VLOOKUP($N287,Veg_Parameters!$A$3:$N$65,7,FALSE))))</f>
        <v>0</v>
      </c>
      <c r="BH287" s="527">
        <f>IF(ISNA(VLOOKUP($N287,Veg_Parameters!$A$3:$N$65,6,FALSE)), 0, (VLOOKUP($N287,Veg_Parameters!$A$3:$N$65,6,FALSE)))</f>
        <v>0</v>
      </c>
      <c r="BI287" s="529">
        <f t="shared" si="421"/>
        <v>20</v>
      </c>
      <c r="BJ287" s="529">
        <f t="shared" si="441"/>
        <v>0</v>
      </c>
      <c r="BK287" s="529">
        <f t="shared" si="422"/>
        <v>0</v>
      </c>
      <c r="BL287" s="530">
        <f t="shared" si="442"/>
        <v>0</v>
      </c>
      <c r="BM287" s="527" t="s">
        <v>3</v>
      </c>
      <c r="BN287" s="527">
        <f>IF(ISNA(VLOOKUP(N287,Veg_Parameters!$A$3:$N$65,8,FALSE)), 0, (VLOOKUP($N287,Veg_Parameters!$A$3:$N$65,8,FALSE)))</f>
        <v>0</v>
      </c>
      <c r="BO287" s="527">
        <f>AH287*(IF(ISNA(VLOOKUP($N287,Veg_Parameters!$A$3:$N$65,9,FALSE)), 0, (VLOOKUP($N287,Veg_Parameters!$A$3:$N$65,9,FALSE))))</f>
        <v>0</v>
      </c>
      <c r="BP287" s="527" t="str">
        <f>IF(ISBLANK(N287),"0",VLOOKUP($N287,Veg_Parameters!$A$4:$U$65,21,))</f>
        <v>0</v>
      </c>
      <c r="BQ287" s="529">
        <f t="shared" si="443"/>
        <v>0</v>
      </c>
      <c r="BR287" s="529">
        <f t="shared" si="444"/>
        <v>0</v>
      </c>
      <c r="BS287" s="529">
        <f t="shared" si="423"/>
        <v>0</v>
      </c>
      <c r="BT287" s="529">
        <f t="shared" si="445"/>
        <v>0</v>
      </c>
      <c r="BU287" s="529">
        <f t="shared" si="446"/>
        <v>0</v>
      </c>
      <c r="BV287" s="529">
        <f t="shared" si="447"/>
        <v>0</v>
      </c>
      <c r="BW287" s="532" t="str">
        <f t="shared" si="424"/>
        <v/>
      </c>
      <c r="BX287" s="532" t="str">
        <f t="shared" si="425"/>
        <v/>
      </c>
      <c r="BY287" s="532" t="str">
        <f t="shared" si="426"/>
        <v/>
      </c>
      <c r="BZ287" s="532" t="str">
        <f t="shared" si="427"/>
        <v/>
      </c>
      <c r="CA287" s="532">
        <f t="shared" si="428"/>
        <v>0</v>
      </c>
      <c r="CB287" s="533"/>
      <c r="CC287" s="624">
        <f t="shared" si="429"/>
        <v>0</v>
      </c>
      <c r="CD287" s="534">
        <f t="shared" si="430"/>
        <v>0</v>
      </c>
      <c r="CE287" s="534">
        <f t="shared" si="431"/>
        <v>0</v>
      </c>
      <c r="CF287" s="534">
        <f t="shared" si="432"/>
        <v>0</v>
      </c>
      <c r="CG287" s="534"/>
      <c r="CH287" s="534"/>
      <c r="CI287" s="534">
        <f t="shared" si="448"/>
        <v>0</v>
      </c>
      <c r="CL287" s="534">
        <f>IF(ISNA(VLOOKUP(I287,Veg_Parameters!$A$3:$N$65,13,FALSE)),0,(VLOOKUP(I287,Veg_Parameters!$A$3:$N$65,13,FALSE)))</f>
        <v>0</v>
      </c>
      <c r="CM287" s="534">
        <f t="shared" si="449"/>
        <v>0</v>
      </c>
      <c r="CN287" s="534">
        <f>IF(ISNA(VLOOKUP(N287,Veg_Parameters!$A$3:$N$65,13,FALSE)),0,(VLOOKUP(N287,Veg_Parameters!$A$3:$N$65,13,FALSE)))</f>
        <v>0</v>
      </c>
      <c r="CO287" s="523">
        <f t="shared" si="450"/>
        <v>0</v>
      </c>
    </row>
    <row r="288" spans="1:93" x14ac:dyDescent="0.2">
      <c r="A288" s="230"/>
      <c r="B288" s="171" t="str">
        <f t="shared" si="451"/>
        <v/>
      </c>
      <c r="C288" s="230"/>
      <c r="D288" s="169"/>
      <c r="E288" s="165"/>
      <c r="F288" s="165"/>
      <c r="G288" s="165"/>
      <c r="H288" s="165"/>
      <c r="I288" s="168"/>
      <c r="J288" s="167"/>
      <c r="K288" s="168"/>
      <c r="L288" s="167"/>
      <c r="M288" s="167"/>
      <c r="N288" s="168"/>
      <c r="O288" s="168"/>
      <c r="P288" s="167"/>
      <c r="Q288" s="167"/>
      <c r="R288" s="167"/>
      <c r="S288" s="222" t="str">
        <f>IF(ISBLANK(A288),"",IF(ISNA(VLOOKUP(I288,Veg_Parameters!$A$3:$N$65,3,FALSE)),0,(VLOOKUP(I288,Veg_Parameters!$A$3:$N$65,3,FALSE))))</f>
        <v/>
      </c>
      <c r="T288" s="222" t="str">
        <f>IF(ISBLANK(N288),"",IF(ISNA(VLOOKUP(N288,Veg_Parameters!$A$3:$N$65,3,FALSE)),0,(VLOOKUP(N288,Veg_Parameters!$A$3:$N$65,3,FALSE))))</f>
        <v/>
      </c>
      <c r="U288" s="523">
        <f t="shared" si="433"/>
        <v>0</v>
      </c>
      <c r="V288" s="523">
        <f t="shared" si="409"/>
        <v>0</v>
      </c>
      <c r="W288" s="524">
        <f>IF(ISBLANK(A288),0,IF(ISNA(VLOOKUP($I288,Veg_Parameters!$A$3:$N$65,10,FALSE)),0,(VLOOKUP($I288,Veg_Parameters!$A$3:$N$65,10,FALSE))))</f>
        <v>0</v>
      </c>
      <c r="X288" s="524">
        <f>IF(ISBLANK(A288),0,IF(ISNA(VLOOKUP($I288,Veg_Parameters!$A$3:$N$65,11,FALSE)),0,(VLOOKUP($I288,Veg_Parameters!$A$3:$N$65,11,FALSE))))</f>
        <v>0</v>
      </c>
      <c r="Y288" s="524">
        <f>IF(ISBLANK(A288),0,IF(ISNA(VLOOKUP($I288,Veg_Parameters!$A$3:$N$65,12,FALSE)),0,(VLOOKUP($I288,Veg_Parameters!$A$3:$N$65,12,FALSE))))</f>
        <v>0</v>
      </c>
      <c r="Z288" s="525">
        <f t="shared" si="410"/>
        <v>0</v>
      </c>
      <c r="AA288" s="525">
        <f t="shared" si="411"/>
        <v>0</v>
      </c>
      <c r="AB288" s="525">
        <f t="shared" si="412"/>
        <v>0</v>
      </c>
      <c r="AC288" s="524">
        <f>IF(ISBLANK(N288),0,IF(ISNA(VLOOKUP($N288,Veg_Parameters!$A$3:$N$65,10,FALSE)),0,(VLOOKUP($N288,Veg_Parameters!$A$3:$N$65,10,FALSE))))</f>
        <v>0</v>
      </c>
      <c r="AD288" s="524">
        <f>IF(ISBLANK(N288),0,IF(ISNA(VLOOKUP($N288,Veg_Parameters!$A$3:$N$65,11,FALSE)),0,(VLOOKUP($N288,Veg_Parameters!$A$3:$N$65,11,FALSE))))</f>
        <v>0</v>
      </c>
      <c r="AE288" s="524">
        <f>IF(ISBLANK(N288), 0, IF(ISNA(VLOOKUP($N288,Veg_Parameters!$A$3:$N$65,12,FALSE)),0,(VLOOKUP($N288,Veg_Parameters!$A$3:$N$65,12,FALSE))))</f>
        <v>0</v>
      </c>
      <c r="AF288" s="523">
        <f t="shared" si="413"/>
        <v>0</v>
      </c>
      <c r="AG288" s="523">
        <f t="shared" si="414"/>
        <v>0</v>
      </c>
      <c r="AH288" s="523">
        <f t="shared" si="415"/>
        <v>0</v>
      </c>
      <c r="AI288" s="526"/>
      <c r="AJ288" s="527">
        <f>AB288*(IF(ISNA(VLOOKUP($I288,Veg_Parameters!$A$3:$N$65,5,FALSE)),0,(VLOOKUP($I288,Veg_Parameters!$A$3:$N$65,5,FALSE))))</f>
        <v>0</v>
      </c>
      <c r="AK288" s="527">
        <f>IF(ISNA(VLOOKUP($I288,Veg_Parameters!$A$3:$N$65,4,FALSE)),0,(VLOOKUP($I288,Veg_Parameters!$A$3:$N$65,4,FALSE)))</f>
        <v>0</v>
      </c>
      <c r="AL288" s="527">
        <f>AB288*(IF(ISNA(VLOOKUP($I288,Veg_Parameters!$A$3:$N$65,7,FALSE)),0, (VLOOKUP($I288,Veg_Parameters!$A$3:$N$65,7,FALSE))))</f>
        <v>0</v>
      </c>
      <c r="AM288" s="528">
        <f>IF(ISNA(VLOOKUP($I288,Veg_Parameters!$A$3:$N$65,6,FALSE)), 0, (VLOOKUP($I288,Veg_Parameters!$A$3:$N$65,6,FALSE)))</f>
        <v>0</v>
      </c>
      <c r="AN288" s="529">
        <f t="shared" si="416"/>
        <v>20</v>
      </c>
      <c r="AO288" s="529">
        <f t="shared" si="417"/>
        <v>0</v>
      </c>
      <c r="AP288" s="529">
        <f t="shared" si="418"/>
        <v>0</v>
      </c>
      <c r="AQ288" s="530">
        <f t="shared" si="434"/>
        <v>0</v>
      </c>
      <c r="AR288" s="527" t="s">
        <v>3</v>
      </c>
      <c r="AS288" s="527">
        <f>IF(ISNA(VLOOKUP($I288,Veg_Parameters!$A$3:$N$65,8,FALSE)), 0, (VLOOKUP($I288,Veg_Parameters!$A$3:$N$65,8,FALSE)))</f>
        <v>0</v>
      </c>
      <c r="AT288" s="527">
        <f>AB288*(IF(ISNA(VLOOKUP($I288,Veg_Parameters!$A$3:$N$65,9,FALSE)), 0, (VLOOKUP($I288,Veg_Parameters!$A$3:$N$65,9,FALSE))))</f>
        <v>0</v>
      </c>
      <c r="AU288" s="527">
        <f>IF(ISBLANK(A288),0,VLOOKUP($I288,Veg_Parameters!$A$4:$U$65,21,))</f>
        <v>0</v>
      </c>
      <c r="AV288" s="527">
        <f t="shared" si="435"/>
        <v>0</v>
      </c>
      <c r="AW288" s="529">
        <f t="shared" si="436"/>
        <v>0</v>
      </c>
      <c r="AX288" s="529">
        <f t="shared" si="437"/>
        <v>0</v>
      </c>
      <c r="AY288" s="529">
        <f t="shared" si="419"/>
        <v>0</v>
      </c>
      <c r="AZ288" s="529">
        <f t="shared" si="438"/>
        <v>0</v>
      </c>
      <c r="BA288" s="529">
        <f t="shared" si="439"/>
        <v>0</v>
      </c>
      <c r="BB288" s="529">
        <f t="shared" si="440"/>
        <v>0</v>
      </c>
      <c r="BC288" s="529">
        <f t="shared" si="420"/>
        <v>0</v>
      </c>
      <c r="BD288" s="531"/>
      <c r="BE288" s="527">
        <f>AH288*(IF(ISNA(VLOOKUP($N288,Veg_Parameters!$A$3:$N$65,5,FALSE)),0,(VLOOKUP($N288,Veg_Parameters!$A$3:$N$65,5,FALSE))))</f>
        <v>0</v>
      </c>
      <c r="BF288" s="527">
        <f>IF(ISNA(VLOOKUP($N288,Veg_Parameters!$A$3:$N$65,4,FALSE)),0,(VLOOKUP($N288,Veg_Parameters!$A$3:$N$65,4,FALSE)))</f>
        <v>0</v>
      </c>
      <c r="BG288" s="527">
        <f>AH288*(IF(ISNA(VLOOKUP($N288,Veg_Parameters!$A$3:$N$65,7,FALSE)),0, (VLOOKUP($N288,Veg_Parameters!$A$3:$N$65,7,FALSE))))</f>
        <v>0</v>
      </c>
      <c r="BH288" s="527">
        <f>IF(ISNA(VLOOKUP($N288,Veg_Parameters!$A$3:$N$65,6,FALSE)), 0, (VLOOKUP($N288,Veg_Parameters!$A$3:$N$65,6,FALSE)))</f>
        <v>0</v>
      </c>
      <c r="BI288" s="529">
        <f t="shared" si="421"/>
        <v>20</v>
      </c>
      <c r="BJ288" s="529">
        <f t="shared" si="441"/>
        <v>0</v>
      </c>
      <c r="BK288" s="529">
        <f t="shared" si="422"/>
        <v>0</v>
      </c>
      <c r="BL288" s="530">
        <f t="shared" si="442"/>
        <v>0</v>
      </c>
      <c r="BM288" s="527" t="s">
        <v>3</v>
      </c>
      <c r="BN288" s="527">
        <f>IF(ISNA(VLOOKUP(N288,Veg_Parameters!$A$3:$N$65,8,FALSE)), 0, (VLOOKUP($N288,Veg_Parameters!$A$3:$N$65,8,FALSE)))</f>
        <v>0</v>
      </c>
      <c r="BO288" s="527">
        <f>AH288*(IF(ISNA(VLOOKUP($N288,Veg_Parameters!$A$3:$N$65,9,FALSE)), 0, (VLOOKUP($N288,Veg_Parameters!$A$3:$N$65,9,FALSE))))</f>
        <v>0</v>
      </c>
      <c r="BP288" s="527" t="str">
        <f>IF(ISBLANK(N288),"0",VLOOKUP($N288,Veg_Parameters!$A$4:$U$65,21,))</f>
        <v>0</v>
      </c>
      <c r="BQ288" s="529">
        <f t="shared" si="443"/>
        <v>0</v>
      </c>
      <c r="BR288" s="529">
        <f t="shared" si="444"/>
        <v>0</v>
      </c>
      <c r="BS288" s="529">
        <f t="shared" si="423"/>
        <v>0</v>
      </c>
      <c r="BT288" s="529">
        <f t="shared" si="445"/>
        <v>0</v>
      </c>
      <c r="BU288" s="529">
        <f t="shared" si="446"/>
        <v>0</v>
      </c>
      <c r="BV288" s="529">
        <f t="shared" si="447"/>
        <v>0</v>
      </c>
      <c r="BW288" s="532" t="str">
        <f t="shared" si="424"/>
        <v/>
      </c>
      <c r="BX288" s="532" t="str">
        <f t="shared" si="425"/>
        <v/>
      </c>
      <c r="BY288" s="532" t="str">
        <f t="shared" si="426"/>
        <v/>
      </c>
      <c r="BZ288" s="532" t="str">
        <f t="shared" si="427"/>
        <v/>
      </c>
      <c r="CA288" s="532">
        <f t="shared" si="428"/>
        <v>0</v>
      </c>
      <c r="CB288" s="533"/>
      <c r="CC288" s="624">
        <f t="shared" si="429"/>
        <v>0</v>
      </c>
      <c r="CD288" s="534">
        <f t="shared" si="430"/>
        <v>0</v>
      </c>
      <c r="CE288" s="534">
        <f t="shared" si="431"/>
        <v>0</v>
      </c>
      <c r="CF288" s="534">
        <f t="shared" si="432"/>
        <v>0</v>
      </c>
      <c r="CG288" s="534"/>
      <c r="CH288" s="534"/>
      <c r="CI288" s="534">
        <f t="shared" si="448"/>
        <v>0</v>
      </c>
      <c r="CL288" s="534">
        <f>IF(ISNA(VLOOKUP(I288,Veg_Parameters!$A$3:$N$65,13,FALSE)),0,(VLOOKUP(I288,Veg_Parameters!$A$3:$N$65,13,FALSE)))</f>
        <v>0</v>
      </c>
      <c r="CM288" s="534">
        <f t="shared" si="449"/>
        <v>0</v>
      </c>
      <c r="CN288" s="534">
        <f>IF(ISNA(VLOOKUP(N288,Veg_Parameters!$A$3:$N$65,13,FALSE)),0,(VLOOKUP(N288,Veg_Parameters!$A$3:$N$65,13,FALSE)))</f>
        <v>0</v>
      </c>
      <c r="CO288" s="523">
        <f t="shared" si="450"/>
        <v>0</v>
      </c>
    </row>
    <row r="289" spans="1:93" x14ac:dyDescent="0.2">
      <c r="A289" s="230"/>
      <c r="B289" s="171" t="str">
        <f t="shared" si="451"/>
        <v/>
      </c>
      <c r="C289" s="230"/>
      <c r="D289" s="169"/>
      <c r="E289" s="165"/>
      <c r="F289" s="165"/>
      <c r="G289" s="165"/>
      <c r="H289" s="165"/>
      <c r="I289" s="168"/>
      <c r="J289" s="167"/>
      <c r="K289" s="168"/>
      <c r="L289" s="167"/>
      <c r="M289" s="167"/>
      <c r="N289" s="168"/>
      <c r="O289" s="168"/>
      <c r="P289" s="167"/>
      <c r="Q289" s="167"/>
      <c r="R289" s="167"/>
      <c r="S289" s="222" t="str">
        <f>IF(ISBLANK(A289),"",IF(ISNA(VLOOKUP(I289,Veg_Parameters!$A$3:$N$65,3,FALSE)),0,(VLOOKUP(I289,Veg_Parameters!$A$3:$N$65,3,FALSE))))</f>
        <v/>
      </c>
      <c r="T289" s="222" t="str">
        <f>IF(ISBLANK(N289),"",IF(ISNA(VLOOKUP(N289,Veg_Parameters!$A$3:$N$65,3,FALSE)),0,(VLOOKUP(N289,Veg_Parameters!$A$3:$N$65,3,FALSE))))</f>
        <v/>
      </c>
      <c r="U289" s="523">
        <f t="shared" si="433"/>
        <v>0</v>
      </c>
      <c r="V289" s="523">
        <f t="shared" si="409"/>
        <v>0</v>
      </c>
      <c r="W289" s="524">
        <f>IF(ISBLANK(A289),0,IF(ISNA(VLOOKUP($I289,Veg_Parameters!$A$3:$N$65,10,FALSE)),0,(VLOOKUP($I289,Veg_Parameters!$A$3:$N$65,10,FALSE))))</f>
        <v>0</v>
      </c>
      <c r="X289" s="524">
        <f>IF(ISBLANK(A289),0,IF(ISNA(VLOOKUP($I289,Veg_Parameters!$A$3:$N$65,11,FALSE)),0,(VLOOKUP($I289,Veg_Parameters!$A$3:$N$65,11,FALSE))))</f>
        <v>0</v>
      </c>
      <c r="Y289" s="524">
        <f>IF(ISBLANK(A289),0,IF(ISNA(VLOOKUP($I289,Veg_Parameters!$A$3:$N$65,12,FALSE)),0,(VLOOKUP($I289,Veg_Parameters!$A$3:$N$65,12,FALSE))))</f>
        <v>0</v>
      </c>
      <c r="Z289" s="525">
        <f t="shared" si="410"/>
        <v>0</v>
      </c>
      <c r="AA289" s="525">
        <f t="shared" si="411"/>
        <v>0</v>
      </c>
      <c r="AB289" s="525">
        <f t="shared" si="412"/>
        <v>0</v>
      </c>
      <c r="AC289" s="524">
        <f>IF(ISBLANK(N289),0,IF(ISNA(VLOOKUP($N289,Veg_Parameters!$A$3:$N$65,10,FALSE)),0,(VLOOKUP($N289,Veg_Parameters!$A$3:$N$65,10,FALSE))))</f>
        <v>0</v>
      </c>
      <c r="AD289" s="524">
        <f>IF(ISBLANK(N289),0,IF(ISNA(VLOOKUP($N289,Veg_Parameters!$A$3:$N$65,11,FALSE)),0,(VLOOKUP($N289,Veg_Parameters!$A$3:$N$65,11,FALSE))))</f>
        <v>0</v>
      </c>
      <c r="AE289" s="524">
        <f>IF(ISBLANK(N289), 0, IF(ISNA(VLOOKUP($N289,Veg_Parameters!$A$3:$N$65,12,FALSE)),0,(VLOOKUP($N289,Veg_Parameters!$A$3:$N$65,12,FALSE))))</f>
        <v>0</v>
      </c>
      <c r="AF289" s="523">
        <f t="shared" si="413"/>
        <v>0</v>
      </c>
      <c r="AG289" s="523">
        <f t="shared" si="414"/>
        <v>0</v>
      </c>
      <c r="AH289" s="523">
        <f t="shared" si="415"/>
        <v>0</v>
      </c>
      <c r="AI289" s="526"/>
      <c r="AJ289" s="527">
        <f>AB289*(IF(ISNA(VLOOKUP($I289,Veg_Parameters!$A$3:$N$65,5,FALSE)),0,(VLOOKUP($I289,Veg_Parameters!$A$3:$N$65,5,FALSE))))</f>
        <v>0</v>
      </c>
      <c r="AK289" s="527">
        <f>IF(ISNA(VLOOKUP($I289,Veg_Parameters!$A$3:$N$65,4,FALSE)),0,(VLOOKUP($I289,Veg_Parameters!$A$3:$N$65,4,FALSE)))</f>
        <v>0</v>
      </c>
      <c r="AL289" s="527">
        <f>AB289*(IF(ISNA(VLOOKUP($I289,Veg_Parameters!$A$3:$N$65,7,FALSE)),0, (VLOOKUP($I289,Veg_Parameters!$A$3:$N$65,7,FALSE))))</f>
        <v>0</v>
      </c>
      <c r="AM289" s="528">
        <f>IF(ISNA(VLOOKUP($I289,Veg_Parameters!$A$3:$N$65,6,FALSE)), 0, (VLOOKUP($I289,Veg_Parameters!$A$3:$N$65,6,FALSE)))</f>
        <v>0</v>
      </c>
      <c r="AN289" s="529">
        <f t="shared" si="416"/>
        <v>20</v>
      </c>
      <c r="AO289" s="529">
        <f t="shared" si="417"/>
        <v>0</v>
      </c>
      <c r="AP289" s="529">
        <f t="shared" si="418"/>
        <v>0</v>
      </c>
      <c r="AQ289" s="530">
        <f t="shared" si="434"/>
        <v>0</v>
      </c>
      <c r="AR289" s="527" t="s">
        <v>3</v>
      </c>
      <c r="AS289" s="527">
        <f>IF(ISNA(VLOOKUP($I289,Veg_Parameters!$A$3:$N$65,8,FALSE)), 0, (VLOOKUP($I289,Veg_Parameters!$A$3:$N$65,8,FALSE)))</f>
        <v>0</v>
      </c>
      <c r="AT289" s="527">
        <f>AB289*(IF(ISNA(VLOOKUP($I289,Veg_Parameters!$A$3:$N$65,9,FALSE)), 0, (VLOOKUP($I289,Veg_Parameters!$A$3:$N$65,9,FALSE))))</f>
        <v>0</v>
      </c>
      <c r="AU289" s="527">
        <f>IF(ISBLANK(A289),0,VLOOKUP($I289,Veg_Parameters!$A$4:$U$65,21,))</f>
        <v>0</v>
      </c>
      <c r="AV289" s="527">
        <f t="shared" si="435"/>
        <v>0</v>
      </c>
      <c r="AW289" s="529">
        <f t="shared" si="436"/>
        <v>0</v>
      </c>
      <c r="AX289" s="529">
        <f t="shared" si="437"/>
        <v>0</v>
      </c>
      <c r="AY289" s="529">
        <f t="shared" si="419"/>
        <v>0</v>
      </c>
      <c r="AZ289" s="529">
        <f t="shared" si="438"/>
        <v>0</v>
      </c>
      <c r="BA289" s="529">
        <f t="shared" si="439"/>
        <v>0</v>
      </c>
      <c r="BB289" s="529">
        <f t="shared" si="440"/>
        <v>0</v>
      </c>
      <c r="BC289" s="529">
        <f t="shared" si="420"/>
        <v>0</v>
      </c>
      <c r="BD289" s="531"/>
      <c r="BE289" s="527">
        <f>AH289*(IF(ISNA(VLOOKUP($N289,Veg_Parameters!$A$3:$N$65,5,FALSE)),0,(VLOOKUP($N289,Veg_Parameters!$A$3:$N$65,5,FALSE))))</f>
        <v>0</v>
      </c>
      <c r="BF289" s="527">
        <f>IF(ISNA(VLOOKUP($N289,Veg_Parameters!$A$3:$N$65,4,FALSE)),0,(VLOOKUP($N289,Veg_Parameters!$A$3:$N$65,4,FALSE)))</f>
        <v>0</v>
      </c>
      <c r="BG289" s="527">
        <f>AH289*(IF(ISNA(VLOOKUP($N289,Veg_Parameters!$A$3:$N$65,7,FALSE)),0, (VLOOKUP($N289,Veg_Parameters!$A$3:$N$65,7,FALSE))))</f>
        <v>0</v>
      </c>
      <c r="BH289" s="527">
        <f>IF(ISNA(VLOOKUP($N289,Veg_Parameters!$A$3:$N$65,6,FALSE)), 0, (VLOOKUP($N289,Veg_Parameters!$A$3:$N$65,6,FALSE)))</f>
        <v>0</v>
      </c>
      <c r="BI289" s="529">
        <f t="shared" si="421"/>
        <v>20</v>
      </c>
      <c r="BJ289" s="529">
        <f t="shared" si="441"/>
        <v>0</v>
      </c>
      <c r="BK289" s="529">
        <f t="shared" si="422"/>
        <v>0</v>
      </c>
      <c r="BL289" s="530">
        <f t="shared" si="442"/>
        <v>0</v>
      </c>
      <c r="BM289" s="527" t="s">
        <v>3</v>
      </c>
      <c r="BN289" s="527">
        <f>IF(ISNA(VLOOKUP(N289,Veg_Parameters!$A$3:$N$65,8,FALSE)), 0, (VLOOKUP($N289,Veg_Parameters!$A$3:$N$65,8,FALSE)))</f>
        <v>0</v>
      </c>
      <c r="BO289" s="527">
        <f>AH289*(IF(ISNA(VLOOKUP($N289,Veg_Parameters!$A$3:$N$65,9,FALSE)), 0, (VLOOKUP($N289,Veg_Parameters!$A$3:$N$65,9,FALSE))))</f>
        <v>0</v>
      </c>
      <c r="BP289" s="527" t="str">
        <f>IF(ISBLANK(N289),"0",VLOOKUP($N289,Veg_Parameters!$A$4:$U$65,21,))</f>
        <v>0</v>
      </c>
      <c r="BQ289" s="529">
        <f t="shared" si="443"/>
        <v>0</v>
      </c>
      <c r="BR289" s="529">
        <f t="shared" si="444"/>
        <v>0</v>
      </c>
      <c r="BS289" s="529">
        <f t="shared" si="423"/>
        <v>0</v>
      </c>
      <c r="BT289" s="529">
        <f t="shared" si="445"/>
        <v>0</v>
      </c>
      <c r="BU289" s="529">
        <f t="shared" si="446"/>
        <v>0</v>
      </c>
      <c r="BV289" s="529">
        <f t="shared" si="447"/>
        <v>0</v>
      </c>
      <c r="BW289" s="532" t="str">
        <f t="shared" si="424"/>
        <v/>
      </c>
      <c r="BX289" s="532" t="str">
        <f t="shared" si="425"/>
        <v/>
      </c>
      <c r="BY289" s="532" t="str">
        <f t="shared" si="426"/>
        <v/>
      </c>
      <c r="BZ289" s="532" t="str">
        <f t="shared" si="427"/>
        <v/>
      </c>
      <c r="CA289" s="532">
        <f t="shared" si="428"/>
        <v>0</v>
      </c>
      <c r="CB289" s="533"/>
      <c r="CC289" s="624">
        <f t="shared" si="429"/>
        <v>0</v>
      </c>
      <c r="CD289" s="534">
        <f t="shared" si="430"/>
        <v>0</v>
      </c>
      <c r="CE289" s="534">
        <f t="shared" si="431"/>
        <v>0</v>
      </c>
      <c r="CF289" s="534">
        <f t="shared" si="432"/>
        <v>0</v>
      </c>
      <c r="CG289" s="534"/>
      <c r="CH289" s="534"/>
      <c r="CI289" s="534">
        <f t="shared" si="448"/>
        <v>0</v>
      </c>
      <c r="CL289" s="534">
        <f>IF(ISNA(VLOOKUP(I289,Veg_Parameters!$A$3:$N$65,13,FALSE)),0,(VLOOKUP(I289,Veg_Parameters!$A$3:$N$65,13,FALSE)))</f>
        <v>0</v>
      </c>
      <c r="CM289" s="534">
        <f t="shared" si="449"/>
        <v>0</v>
      </c>
      <c r="CN289" s="534">
        <f>IF(ISNA(VLOOKUP(N289,Veg_Parameters!$A$3:$N$65,13,FALSE)),0,(VLOOKUP(N289,Veg_Parameters!$A$3:$N$65,13,FALSE)))</f>
        <v>0</v>
      </c>
      <c r="CO289" s="523">
        <f t="shared" si="450"/>
        <v>0</v>
      </c>
    </row>
    <row r="290" spans="1:93" x14ac:dyDescent="0.2">
      <c r="A290" s="227"/>
      <c r="B290" s="171" t="str">
        <f t="shared" si="451"/>
        <v/>
      </c>
      <c r="C290" s="230"/>
      <c r="D290" s="169"/>
      <c r="E290" s="165"/>
      <c r="F290" s="165"/>
      <c r="G290" s="165"/>
      <c r="H290" s="165"/>
      <c r="I290" s="168"/>
      <c r="J290" s="167"/>
      <c r="K290" s="168"/>
      <c r="L290" s="167"/>
      <c r="M290" s="167"/>
      <c r="N290" s="168"/>
      <c r="O290" s="168"/>
      <c r="P290" s="167"/>
      <c r="Q290" s="167"/>
      <c r="R290" s="167"/>
      <c r="S290" s="222" t="str">
        <f>IF(ISBLANK(A290),"",IF(ISNA(VLOOKUP(I290,Veg_Parameters!$A$3:$N$65,3,FALSE)),0,(VLOOKUP(I290,Veg_Parameters!$A$3:$N$65,3,FALSE))))</f>
        <v/>
      </c>
      <c r="T290" s="222" t="str">
        <f>IF(ISBLANK(N290),"",IF(ISNA(VLOOKUP(N290,Veg_Parameters!$A$3:$N$65,3,FALSE)),0,(VLOOKUP(N290,Veg_Parameters!$A$3:$N$65,3,FALSE))))</f>
        <v/>
      </c>
      <c r="U290" s="523">
        <f t="shared" si="433"/>
        <v>0</v>
      </c>
      <c r="V290" s="523">
        <f t="shared" si="409"/>
        <v>0</v>
      </c>
      <c r="W290" s="524">
        <f>IF(ISBLANK(A290),0,IF(ISNA(VLOOKUP($I290,Veg_Parameters!$A$3:$N$65,10,FALSE)),0,(VLOOKUP($I290,Veg_Parameters!$A$3:$N$65,10,FALSE))))</f>
        <v>0</v>
      </c>
      <c r="X290" s="524">
        <f>IF(ISBLANK(A290),0,IF(ISNA(VLOOKUP($I290,Veg_Parameters!$A$3:$N$65,11,FALSE)),0,(VLOOKUP($I290,Veg_Parameters!$A$3:$N$65,11,FALSE))))</f>
        <v>0</v>
      </c>
      <c r="Y290" s="524">
        <f>IF(ISBLANK(A290),0,IF(ISNA(VLOOKUP($I290,Veg_Parameters!$A$3:$N$65,12,FALSE)),0,(VLOOKUP($I290,Veg_Parameters!$A$3:$N$65,12,FALSE))))</f>
        <v>0</v>
      </c>
      <c r="Z290" s="525">
        <f t="shared" si="410"/>
        <v>0</v>
      </c>
      <c r="AA290" s="525">
        <f t="shared" si="411"/>
        <v>0</v>
      </c>
      <c r="AB290" s="525">
        <f t="shared" si="412"/>
        <v>0</v>
      </c>
      <c r="AC290" s="524">
        <f>IF(ISBLANK(N290),0,IF(ISNA(VLOOKUP($N290,Veg_Parameters!$A$3:$N$65,10,FALSE)),0,(VLOOKUP($N290,Veg_Parameters!$A$3:$N$65,10,FALSE))))</f>
        <v>0</v>
      </c>
      <c r="AD290" s="524">
        <f>IF(ISBLANK(N290),0,IF(ISNA(VLOOKUP($N290,Veg_Parameters!$A$3:$N$65,11,FALSE)),0,(VLOOKUP($N290,Veg_Parameters!$A$3:$N$65,11,FALSE))))</f>
        <v>0</v>
      </c>
      <c r="AE290" s="524">
        <f>IF(ISBLANK(N290), 0, IF(ISNA(VLOOKUP($N290,Veg_Parameters!$A$3:$N$65,12,FALSE)),0,(VLOOKUP($N290,Veg_Parameters!$A$3:$N$65,12,FALSE))))</f>
        <v>0</v>
      </c>
      <c r="AF290" s="523">
        <f t="shared" si="413"/>
        <v>0</v>
      </c>
      <c r="AG290" s="523">
        <f t="shared" si="414"/>
        <v>0</v>
      </c>
      <c r="AH290" s="523">
        <f t="shared" si="415"/>
        <v>0</v>
      </c>
      <c r="AI290" s="526"/>
      <c r="AJ290" s="527">
        <f>AB290*(IF(ISNA(VLOOKUP($I290,Veg_Parameters!$A$3:$N$65,5,FALSE)),0,(VLOOKUP($I290,Veg_Parameters!$A$3:$N$65,5,FALSE))))</f>
        <v>0</v>
      </c>
      <c r="AK290" s="527">
        <f>IF(ISNA(VLOOKUP($I290,Veg_Parameters!$A$3:$N$65,4,FALSE)),0,(VLOOKUP($I290,Veg_Parameters!$A$3:$N$65,4,FALSE)))</f>
        <v>0</v>
      </c>
      <c r="AL290" s="527">
        <f>AB290*(IF(ISNA(VLOOKUP($I290,Veg_Parameters!$A$3:$N$65,7,FALSE)),0, (VLOOKUP($I290,Veg_Parameters!$A$3:$N$65,7,FALSE))))</f>
        <v>0</v>
      </c>
      <c r="AM290" s="528">
        <f>IF(ISNA(VLOOKUP($I290,Veg_Parameters!$A$3:$N$65,6,FALSE)), 0, (VLOOKUP($I290,Veg_Parameters!$A$3:$N$65,6,FALSE)))</f>
        <v>0</v>
      </c>
      <c r="AN290" s="529">
        <f t="shared" si="416"/>
        <v>20</v>
      </c>
      <c r="AO290" s="529">
        <f t="shared" si="417"/>
        <v>0</v>
      </c>
      <c r="AP290" s="529">
        <f t="shared" si="418"/>
        <v>0</v>
      </c>
      <c r="AQ290" s="530">
        <f t="shared" si="434"/>
        <v>0</v>
      </c>
      <c r="AR290" s="527" t="s">
        <v>3</v>
      </c>
      <c r="AS290" s="527">
        <f>IF(ISNA(VLOOKUP($I290,Veg_Parameters!$A$3:$N$65,8,FALSE)), 0, (VLOOKUP($I290,Veg_Parameters!$A$3:$N$65,8,FALSE)))</f>
        <v>0</v>
      </c>
      <c r="AT290" s="527">
        <f>AB290*(IF(ISNA(VLOOKUP($I290,Veg_Parameters!$A$3:$N$65,9,FALSE)), 0, (VLOOKUP($I290,Veg_Parameters!$A$3:$N$65,9,FALSE))))</f>
        <v>0</v>
      </c>
      <c r="AU290" s="527">
        <f>IF(ISBLANK(A290),0,VLOOKUP($I290,Veg_Parameters!$A$4:$U$65,21,))</f>
        <v>0</v>
      </c>
      <c r="AV290" s="527">
        <f t="shared" si="435"/>
        <v>0</v>
      </c>
      <c r="AW290" s="529">
        <f t="shared" si="436"/>
        <v>0</v>
      </c>
      <c r="AX290" s="529">
        <f t="shared" si="437"/>
        <v>0</v>
      </c>
      <c r="AY290" s="529">
        <f t="shared" si="419"/>
        <v>0</v>
      </c>
      <c r="AZ290" s="529">
        <f t="shared" si="438"/>
        <v>0</v>
      </c>
      <c r="BA290" s="529">
        <f t="shared" si="439"/>
        <v>0</v>
      </c>
      <c r="BB290" s="529">
        <f t="shared" si="440"/>
        <v>0</v>
      </c>
      <c r="BC290" s="529">
        <f t="shared" si="420"/>
        <v>0</v>
      </c>
      <c r="BD290" s="531"/>
      <c r="BE290" s="527">
        <f>AH290*(IF(ISNA(VLOOKUP($N290,Veg_Parameters!$A$3:$N$65,5,FALSE)),0,(VLOOKUP($N290,Veg_Parameters!$A$3:$N$65,5,FALSE))))</f>
        <v>0</v>
      </c>
      <c r="BF290" s="527">
        <f>IF(ISNA(VLOOKUP($N290,Veg_Parameters!$A$3:$N$65,4,FALSE)),0,(VLOOKUP($N290,Veg_Parameters!$A$3:$N$65,4,FALSE)))</f>
        <v>0</v>
      </c>
      <c r="BG290" s="527">
        <f>AH290*(IF(ISNA(VLOOKUP($N290,Veg_Parameters!$A$3:$N$65,7,FALSE)),0, (VLOOKUP($N290,Veg_Parameters!$A$3:$N$65,7,FALSE))))</f>
        <v>0</v>
      </c>
      <c r="BH290" s="527">
        <f>IF(ISNA(VLOOKUP($N290,Veg_Parameters!$A$3:$N$65,6,FALSE)), 0, (VLOOKUP($N290,Veg_Parameters!$A$3:$N$65,6,FALSE)))</f>
        <v>0</v>
      </c>
      <c r="BI290" s="529">
        <f t="shared" si="421"/>
        <v>20</v>
      </c>
      <c r="BJ290" s="529">
        <f t="shared" si="441"/>
        <v>0</v>
      </c>
      <c r="BK290" s="529">
        <f t="shared" si="422"/>
        <v>0</v>
      </c>
      <c r="BL290" s="530">
        <f t="shared" si="442"/>
        <v>0</v>
      </c>
      <c r="BM290" s="527" t="s">
        <v>3</v>
      </c>
      <c r="BN290" s="527">
        <f>IF(ISNA(VLOOKUP(N290,Veg_Parameters!$A$3:$N$65,8,FALSE)), 0, (VLOOKUP($N290,Veg_Parameters!$A$3:$N$65,8,FALSE)))</f>
        <v>0</v>
      </c>
      <c r="BO290" s="527">
        <f>AH290*(IF(ISNA(VLOOKUP($N290,Veg_Parameters!$A$3:$N$65,9,FALSE)), 0, (VLOOKUP($N290,Veg_Parameters!$A$3:$N$65,9,FALSE))))</f>
        <v>0</v>
      </c>
      <c r="BP290" s="527" t="str">
        <f>IF(ISBLANK(N290),"0",VLOOKUP($N290,Veg_Parameters!$A$4:$U$65,21,))</f>
        <v>0</v>
      </c>
      <c r="BQ290" s="529">
        <f t="shared" si="443"/>
        <v>0</v>
      </c>
      <c r="BR290" s="529">
        <f t="shared" si="444"/>
        <v>0</v>
      </c>
      <c r="BS290" s="529">
        <f t="shared" si="423"/>
        <v>0</v>
      </c>
      <c r="BT290" s="529">
        <f t="shared" si="445"/>
        <v>0</v>
      </c>
      <c r="BU290" s="529">
        <f t="shared" si="446"/>
        <v>0</v>
      </c>
      <c r="BV290" s="529">
        <f t="shared" si="447"/>
        <v>0</v>
      </c>
      <c r="BW290" s="532" t="str">
        <f t="shared" si="424"/>
        <v/>
      </c>
      <c r="BX290" s="532" t="str">
        <f t="shared" si="425"/>
        <v/>
      </c>
      <c r="BY290" s="532" t="str">
        <f t="shared" si="426"/>
        <v/>
      </c>
      <c r="BZ290" s="532" t="str">
        <f t="shared" si="427"/>
        <v/>
      </c>
      <c r="CA290" s="532">
        <f t="shared" si="428"/>
        <v>0</v>
      </c>
      <c r="CB290" s="533"/>
      <c r="CC290" s="624">
        <f t="shared" si="429"/>
        <v>0</v>
      </c>
      <c r="CD290" s="534">
        <f t="shared" si="430"/>
        <v>0</v>
      </c>
      <c r="CE290" s="534">
        <f t="shared" si="431"/>
        <v>0</v>
      </c>
      <c r="CF290" s="534">
        <f t="shared" si="432"/>
        <v>0</v>
      </c>
      <c r="CG290" s="534"/>
      <c r="CH290" s="534"/>
      <c r="CI290" s="534">
        <f t="shared" si="448"/>
        <v>0</v>
      </c>
      <c r="CL290" s="534">
        <f>IF(ISNA(VLOOKUP(I290,Veg_Parameters!$A$3:$N$65,13,FALSE)),0,(VLOOKUP(I290,Veg_Parameters!$A$3:$N$65,13,FALSE)))</f>
        <v>0</v>
      </c>
      <c r="CM290" s="534">
        <f t="shared" si="449"/>
        <v>0</v>
      </c>
      <c r="CN290" s="534">
        <f>IF(ISNA(VLOOKUP(N290,Veg_Parameters!$A$3:$N$65,13,FALSE)),0,(VLOOKUP(N290,Veg_Parameters!$A$3:$N$65,13,FALSE)))</f>
        <v>0</v>
      </c>
      <c r="CO290" s="523">
        <f t="shared" si="450"/>
        <v>0</v>
      </c>
    </row>
    <row r="291" spans="1:93" x14ac:dyDescent="0.2">
      <c r="A291" s="227"/>
      <c r="B291" s="171" t="str">
        <f t="shared" si="451"/>
        <v/>
      </c>
      <c r="C291" s="230"/>
      <c r="D291" s="169"/>
      <c r="E291" s="165"/>
      <c r="F291" s="165"/>
      <c r="G291" s="165"/>
      <c r="H291" s="165"/>
      <c r="I291" s="168"/>
      <c r="J291" s="167"/>
      <c r="K291" s="168"/>
      <c r="L291" s="167"/>
      <c r="M291" s="167"/>
      <c r="N291" s="168"/>
      <c r="O291" s="168"/>
      <c r="P291" s="167"/>
      <c r="Q291" s="167"/>
      <c r="R291" s="167"/>
      <c r="S291" s="222" t="str">
        <f>IF(ISBLANK(A291),"",IF(ISNA(VLOOKUP(I291,Veg_Parameters!$A$3:$N$65,3,FALSE)),0,(VLOOKUP(I291,Veg_Parameters!$A$3:$N$65,3,FALSE))))</f>
        <v/>
      </c>
      <c r="T291" s="222" t="str">
        <f>IF(ISBLANK(N291),"",IF(ISNA(VLOOKUP(N291,Veg_Parameters!$A$3:$N$65,3,FALSE)),0,(VLOOKUP(N291,Veg_Parameters!$A$3:$N$65,3,FALSE))))</f>
        <v/>
      </c>
      <c r="U291" s="523">
        <f t="shared" si="433"/>
        <v>0</v>
      </c>
      <c r="V291" s="523">
        <f t="shared" si="409"/>
        <v>0</v>
      </c>
      <c r="W291" s="524">
        <f>IF(ISBLANK(A291),0,IF(ISNA(VLOOKUP($I291,Veg_Parameters!$A$3:$N$65,10,FALSE)),0,(VLOOKUP($I291,Veg_Parameters!$A$3:$N$65,10,FALSE))))</f>
        <v>0</v>
      </c>
      <c r="X291" s="524">
        <f>IF(ISBLANK(A291),0,IF(ISNA(VLOOKUP($I291,Veg_Parameters!$A$3:$N$65,11,FALSE)),0,(VLOOKUP($I291,Veg_Parameters!$A$3:$N$65,11,FALSE))))</f>
        <v>0</v>
      </c>
      <c r="Y291" s="524">
        <f>IF(ISBLANK(A291),0,IF(ISNA(VLOOKUP($I291,Veg_Parameters!$A$3:$N$65,12,FALSE)),0,(VLOOKUP($I291,Veg_Parameters!$A$3:$N$65,12,FALSE))))</f>
        <v>0</v>
      </c>
      <c r="Z291" s="525">
        <f t="shared" si="410"/>
        <v>0</v>
      </c>
      <c r="AA291" s="525">
        <f t="shared" si="411"/>
        <v>0</v>
      </c>
      <c r="AB291" s="525">
        <f t="shared" si="412"/>
        <v>0</v>
      </c>
      <c r="AC291" s="524">
        <f>IF(ISBLANK(N291),0,IF(ISNA(VLOOKUP($N291,Veg_Parameters!$A$3:$N$65,10,FALSE)),0,(VLOOKUP($N291,Veg_Parameters!$A$3:$N$65,10,FALSE))))</f>
        <v>0</v>
      </c>
      <c r="AD291" s="524">
        <f>IF(ISBLANK(N291),0,IF(ISNA(VLOOKUP($N291,Veg_Parameters!$A$3:$N$65,11,FALSE)),0,(VLOOKUP($N291,Veg_Parameters!$A$3:$N$65,11,FALSE))))</f>
        <v>0</v>
      </c>
      <c r="AE291" s="524">
        <f>IF(ISBLANK(N291), 0, IF(ISNA(VLOOKUP($N291,Veg_Parameters!$A$3:$N$65,12,FALSE)),0,(VLOOKUP($N291,Veg_Parameters!$A$3:$N$65,12,FALSE))))</f>
        <v>0</v>
      </c>
      <c r="AF291" s="523">
        <f t="shared" si="413"/>
        <v>0</v>
      </c>
      <c r="AG291" s="523">
        <f t="shared" si="414"/>
        <v>0</v>
      </c>
      <c r="AH291" s="523">
        <f t="shared" si="415"/>
        <v>0</v>
      </c>
      <c r="AI291" s="526"/>
      <c r="AJ291" s="527">
        <f>AB291*(IF(ISNA(VLOOKUP($I291,Veg_Parameters!$A$3:$N$65,5,FALSE)),0,(VLOOKUP($I291,Veg_Parameters!$A$3:$N$65,5,FALSE))))</f>
        <v>0</v>
      </c>
      <c r="AK291" s="527">
        <f>IF(ISNA(VLOOKUP($I291,Veg_Parameters!$A$3:$N$65,4,FALSE)),0,(VLOOKUP($I291,Veg_Parameters!$A$3:$N$65,4,FALSE)))</f>
        <v>0</v>
      </c>
      <c r="AL291" s="527">
        <f>AB291*(IF(ISNA(VLOOKUP($I291,Veg_Parameters!$A$3:$N$65,7,FALSE)),0, (VLOOKUP($I291,Veg_Parameters!$A$3:$N$65,7,FALSE))))</f>
        <v>0</v>
      </c>
      <c r="AM291" s="528">
        <f>IF(ISNA(VLOOKUP($I291,Veg_Parameters!$A$3:$N$65,6,FALSE)), 0, (VLOOKUP($I291,Veg_Parameters!$A$3:$N$65,6,FALSE)))</f>
        <v>0</v>
      </c>
      <c r="AN291" s="529">
        <f t="shared" si="416"/>
        <v>20</v>
      </c>
      <c r="AO291" s="529">
        <f t="shared" si="417"/>
        <v>0</v>
      </c>
      <c r="AP291" s="529">
        <f t="shared" si="418"/>
        <v>0</v>
      </c>
      <c r="AQ291" s="530">
        <f t="shared" si="434"/>
        <v>0</v>
      </c>
      <c r="AR291" s="527" t="s">
        <v>3</v>
      </c>
      <c r="AS291" s="527">
        <f>IF(ISNA(VLOOKUP($I291,Veg_Parameters!$A$3:$N$65,8,FALSE)), 0, (VLOOKUP($I291,Veg_Parameters!$A$3:$N$65,8,FALSE)))</f>
        <v>0</v>
      </c>
      <c r="AT291" s="527">
        <f>AB291*(IF(ISNA(VLOOKUP($I291,Veg_Parameters!$A$3:$N$65,9,FALSE)), 0, (VLOOKUP($I291,Veg_Parameters!$A$3:$N$65,9,FALSE))))</f>
        <v>0</v>
      </c>
      <c r="AU291" s="527">
        <f>IF(ISBLANK(A291),0,VLOOKUP($I291,Veg_Parameters!$A$4:$U$65,21,))</f>
        <v>0</v>
      </c>
      <c r="AV291" s="527">
        <f t="shared" si="435"/>
        <v>0</v>
      </c>
      <c r="AW291" s="529">
        <f t="shared" si="436"/>
        <v>0</v>
      </c>
      <c r="AX291" s="529">
        <f t="shared" si="437"/>
        <v>0</v>
      </c>
      <c r="AY291" s="529">
        <f t="shared" si="419"/>
        <v>0</v>
      </c>
      <c r="AZ291" s="529">
        <f t="shared" si="438"/>
        <v>0</v>
      </c>
      <c r="BA291" s="529">
        <f t="shared" si="439"/>
        <v>0</v>
      </c>
      <c r="BB291" s="529">
        <f t="shared" si="440"/>
        <v>0</v>
      </c>
      <c r="BC291" s="529">
        <f t="shared" si="420"/>
        <v>0</v>
      </c>
      <c r="BD291" s="531"/>
      <c r="BE291" s="527">
        <f>AH291*(IF(ISNA(VLOOKUP($N291,Veg_Parameters!$A$3:$N$65,5,FALSE)),0,(VLOOKUP($N291,Veg_Parameters!$A$3:$N$65,5,FALSE))))</f>
        <v>0</v>
      </c>
      <c r="BF291" s="527">
        <f>IF(ISNA(VLOOKUP($N291,Veg_Parameters!$A$3:$N$65,4,FALSE)),0,(VLOOKUP($N291,Veg_Parameters!$A$3:$N$65,4,FALSE)))</f>
        <v>0</v>
      </c>
      <c r="BG291" s="527">
        <f>AH291*(IF(ISNA(VLOOKUP($N291,Veg_Parameters!$A$3:$N$65,7,FALSE)),0, (VLOOKUP($N291,Veg_Parameters!$A$3:$N$65,7,FALSE))))</f>
        <v>0</v>
      </c>
      <c r="BH291" s="527">
        <f>IF(ISNA(VLOOKUP($N291,Veg_Parameters!$A$3:$N$65,6,FALSE)), 0, (VLOOKUP($N291,Veg_Parameters!$A$3:$N$65,6,FALSE)))</f>
        <v>0</v>
      </c>
      <c r="BI291" s="529">
        <f t="shared" si="421"/>
        <v>20</v>
      </c>
      <c r="BJ291" s="529">
        <f t="shared" si="441"/>
        <v>0</v>
      </c>
      <c r="BK291" s="529">
        <f t="shared" si="422"/>
        <v>0</v>
      </c>
      <c r="BL291" s="530">
        <f t="shared" si="442"/>
        <v>0</v>
      </c>
      <c r="BM291" s="527" t="s">
        <v>3</v>
      </c>
      <c r="BN291" s="527">
        <f>IF(ISNA(VLOOKUP(N291,Veg_Parameters!$A$3:$N$65,8,FALSE)), 0, (VLOOKUP($N291,Veg_Parameters!$A$3:$N$65,8,FALSE)))</f>
        <v>0</v>
      </c>
      <c r="BO291" s="527">
        <f>AH291*(IF(ISNA(VLOOKUP($N291,Veg_Parameters!$A$3:$N$65,9,FALSE)), 0, (VLOOKUP($N291,Veg_Parameters!$A$3:$N$65,9,FALSE))))</f>
        <v>0</v>
      </c>
      <c r="BP291" s="527" t="str">
        <f>IF(ISBLANK(N291),"0",VLOOKUP($N291,Veg_Parameters!$A$4:$U$65,21,))</f>
        <v>0</v>
      </c>
      <c r="BQ291" s="529">
        <f t="shared" si="443"/>
        <v>0</v>
      </c>
      <c r="BR291" s="529">
        <f t="shared" si="444"/>
        <v>0</v>
      </c>
      <c r="BS291" s="529">
        <f t="shared" si="423"/>
        <v>0</v>
      </c>
      <c r="BT291" s="529">
        <f t="shared" si="445"/>
        <v>0</v>
      </c>
      <c r="BU291" s="529">
        <f t="shared" si="446"/>
        <v>0</v>
      </c>
      <c r="BV291" s="529">
        <f t="shared" si="447"/>
        <v>0</v>
      </c>
      <c r="BW291" s="532" t="str">
        <f t="shared" si="424"/>
        <v/>
      </c>
      <c r="BX291" s="532" t="str">
        <f t="shared" si="425"/>
        <v/>
      </c>
      <c r="BY291" s="532" t="str">
        <f t="shared" si="426"/>
        <v/>
      </c>
      <c r="BZ291" s="532" t="str">
        <f t="shared" si="427"/>
        <v/>
      </c>
      <c r="CA291" s="532">
        <f t="shared" si="428"/>
        <v>0</v>
      </c>
      <c r="CB291" s="533"/>
      <c r="CC291" s="624">
        <f t="shared" si="429"/>
        <v>0</v>
      </c>
      <c r="CD291" s="534">
        <f t="shared" si="430"/>
        <v>0</v>
      </c>
      <c r="CE291" s="534">
        <f t="shared" si="431"/>
        <v>0</v>
      </c>
      <c r="CF291" s="534">
        <f t="shared" si="432"/>
        <v>0</v>
      </c>
      <c r="CG291" s="534"/>
      <c r="CH291" s="534"/>
      <c r="CI291" s="534">
        <f t="shared" si="448"/>
        <v>0</v>
      </c>
      <c r="CL291" s="534">
        <f>IF(ISNA(VLOOKUP(I291,Veg_Parameters!$A$3:$N$65,13,FALSE)),0,(VLOOKUP(I291,Veg_Parameters!$A$3:$N$65,13,FALSE)))</f>
        <v>0</v>
      </c>
      <c r="CM291" s="534">
        <f t="shared" si="449"/>
        <v>0</v>
      </c>
      <c r="CN291" s="534">
        <f>IF(ISNA(VLOOKUP(N291,Veg_Parameters!$A$3:$N$65,13,FALSE)),0,(VLOOKUP(N291,Veg_Parameters!$A$3:$N$65,13,FALSE)))</f>
        <v>0</v>
      </c>
      <c r="CO291" s="523">
        <f t="shared" si="450"/>
        <v>0</v>
      </c>
    </row>
    <row r="292" spans="1:93" x14ac:dyDescent="0.2">
      <c r="A292" s="227"/>
      <c r="B292" s="171" t="str">
        <f t="shared" si="451"/>
        <v/>
      </c>
      <c r="C292" s="230"/>
      <c r="D292" s="169"/>
      <c r="E292" s="165"/>
      <c r="F292" s="165"/>
      <c r="G292" s="165"/>
      <c r="H292" s="165"/>
      <c r="I292" s="168"/>
      <c r="J292" s="167"/>
      <c r="K292" s="168"/>
      <c r="L292" s="167"/>
      <c r="M292" s="167"/>
      <c r="N292" s="168"/>
      <c r="O292" s="168"/>
      <c r="P292" s="167"/>
      <c r="Q292" s="167"/>
      <c r="R292" s="167"/>
      <c r="S292" s="222" t="str">
        <f>IF(ISBLANK(A292),"",IF(ISNA(VLOOKUP(I292,Veg_Parameters!$A$3:$N$65,3,FALSE)),0,(VLOOKUP(I292,Veg_Parameters!$A$3:$N$65,3,FALSE))))</f>
        <v/>
      </c>
      <c r="T292" s="222" t="str">
        <f>IF(ISBLANK(N292),"",IF(ISNA(VLOOKUP(N292,Veg_Parameters!$A$3:$N$65,3,FALSE)),0,(VLOOKUP(N292,Veg_Parameters!$A$3:$N$65,3,FALSE))))</f>
        <v/>
      </c>
      <c r="U292" s="523">
        <f t="shared" si="433"/>
        <v>0</v>
      </c>
      <c r="V292" s="523">
        <f t="shared" si="409"/>
        <v>0</v>
      </c>
      <c r="W292" s="524">
        <f>IF(ISBLANK(A292),0,IF(ISNA(VLOOKUP($I292,Veg_Parameters!$A$3:$N$65,10,FALSE)),0,(VLOOKUP($I292,Veg_Parameters!$A$3:$N$65,10,FALSE))))</f>
        <v>0</v>
      </c>
      <c r="X292" s="524">
        <f>IF(ISBLANK(A292),0,IF(ISNA(VLOOKUP($I292,Veg_Parameters!$A$3:$N$65,11,FALSE)),0,(VLOOKUP($I292,Veg_Parameters!$A$3:$N$65,11,FALSE))))</f>
        <v>0</v>
      </c>
      <c r="Y292" s="524">
        <f>IF(ISBLANK(A292),0,IF(ISNA(VLOOKUP($I292,Veg_Parameters!$A$3:$N$65,12,FALSE)),0,(VLOOKUP($I292,Veg_Parameters!$A$3:$N$65,12,FALSE))))</f>
        <v>0</v>
      </c>
      <c r="Z292" s="525">
        <f t="shared" si="410"/>
        <v>0</v>
      </c>
      <c r="AA292" s="525">
        <f t="shared" si="411"/>
        <v>0</v>
      </c>
      <c r="AB292" s="525">
        <f t="shared" si="412"/>
        <v>0</v>
      </c>
      <c r="AC292" s="524">
        <f>IF(ISBLANK(N292),0,IF(ISNA(VLOOKUP($N292,Veg_Parameters!$A$3:$N$65,10,FALSE)),0,(VLOOKUP($N292,Veg_Parameters!$A$3:$N$65,10,FALSE))))</f>
        <v>0</v>
      </c>
      <c r="AD292" s="524">
        <f>IF(ISBLANK(N292),0,IF(ISNA(VLOOKUP($N292,Veg_Parameters!$A$3:$N$65,11,FALSE)),0,(VLOOKUP($N292,Veg_Parameters!$A$3:$N$65,11,FALSE))))</f>
        <v>0</v>
      </c>
      <c r="AE292" s="524">
        <f>IF(ISBLANK(N292), 0, IF(ISNA(VLOOKUP($N292,Veg_Parameters!$A$3:$N$65,12,FALSE)),0,(VLOOKUP($N292,Veg_Parameters!$A$3:$N$65,12,FALSE))))</f>
        <v>0</v>
      </c>
      <c r="AF292" s="523">
        <f t="shared" si="413"/>
        <v>0</v>
      </c>
      <c r="AG292" s="523">
        <f t="shared" si="414"/>
        <v>0</v>
      </c>
      <c r="AH292" s="523">
        <f t="shared" si="415"/>
        <v>0</v>
      </c>
      <c r="AI292" s="526"/>
      <c r="AJ292" s="527">
        <f>AB292*(IF(ISNA(VLOOKUP($I292,Veg_Parameters!$A$3:$N$65,5,FALSE)),0,(VLOOKUP($I292,Veg_Parameters!$A$3:$N$65,5,FALSE))))</f>
        <v>0</v>
      </c>
      <c r="AK292" s="527">
        <f>IF(ISNA(VLOOKUP($I292,Veg_Parameters!$A$3:$N$65,4,FALSE)),0,(VLOOKUP($I292,Veg_Parameters!$A$3:$N$65,4,FALSE)))</f>
        <v>0</v>
      </c>
      <c r="AL292" s="527">
        <f>AB292*(IF(ISNA(VLOOKUP($I292,Veg_Parameters!$A$3:$N$65,7,FALSE)),0, (VLOOKUP($I292,Veg_Parameters!$A$3:$N$65,7,FALSE))))</f>
        <v>0</v>
      </c>
      <c r="AM292" s="528">
        <f>IF(ISNA(VLOOKUP($I292,Veg_Parameters!$A$3:$N$65,6,FALSE)), 0, (VLOOKUP($I292,Veg_Parameters!$A$3:$N$65,6,FALSE)))</f>
        <v>0</v>
      </c>
      <c r="AN292" s="529">
        <f t="shared" si="416"/>
        <v>20</v>
      </c>
      <c r="AO292" s="529">
        <f t="shared" si="417"/>
        <v>0</v>
      </c>
      <c r="AP292" s="529">
        <f t="shared" si="418"/>
        <v>0</v>
      </c>
      <c r="AQ292" s="530">
        <f t="shared" si="434"/>
        <v>0</v>
      </c>
      <c r="AR292" s="527" t="s">
        <v>3</v>
      </c>
      <c r="AS292" s="527">
        <f>IF(ISNA(VLOOKUP($I292,Veg_Parameters!$A$3:$N$65,8,FALSE)), 0, (VLOOKUP($I292,Veg_Parameters!$A$3:$N$65,8,FALSE)))</f>
        <v>0</v>
      </c>
      <c r="AT292" s="527">
        <f>AB292*(IF(ISNA(VLOOKUP($I292,Veg_Parameters!$A$3:$N$65,9,FALSE)), 0, (VLOOKUP($I292,Veg_Parameters!$A$3:$N$65,9,FALSE))))</f>
        <v>0</v>
      </c>
      <c r="AU292" s="527">
        <f>IF(ISBLANK(A292),0,VLOOKUP($I292,Veg_Parameters!$A$4:$U$65,21,))</f>
        <v>0</v>
      </c>
      <c r="AV292" s="527">
        <f t="shared" si="435"/>
        <v>0</v>
      </c>
      <c r="AW292" s="529">
        <f t="shared" si="436"/>
        <v>0</v>
      </c>
      <c r="AX292" s="529">
        <f t="shared" si="437"/>
        <v>0</v>
      </c>
      <c r="AY292" s="529">
        <f t="shared" si="419"/>
        <v>0</v>
      </c>
      <c r="AZ292" s="529">
        <f t="shared" si="438"/>
        <v>0</v>
      </c>
      <c r="BA292" s="529">
        <f t="shared" si="439"/>
        <v>0</v>
      </c>
      <c r="BB292" s="529">
        <f t="shared" si="440"/>
        <v>0</v>
      </c>
      <c r="BC292" s="529">
        <f t="shared" si="420"/>
        <v>0</v>
      </c>
      <c r="BD292" s="531"/>
      <c r="BE292" s="527">
        <f>AH292*(IF(ISNA(VLOOKUP($N292,Veg_Parameters!$A$3:$N$65,5,FALSE)),0,(VLOOKUP($N292,Veg_Parameters!$A$3:$N$65,5,FALSE))))</f>
        <v>0</v>
      </c>
      <c r="BF292" s="527">
        <f>IF(ISNA(VLOOKUP($N292,Veg_Parameters!$A$3:$N$65,4,FALSE)),0,(VLOOKUP($N292,Veg_Parameters!$A$3:$N$65,4,FALSE)))</f>
        <v>0</v>
      </c>
      <c r="BG292" s="527">
        <f>AH292*(IF(ISNA(VLOOKUP($N292,Veg_Parameters!$A$3:$N$65,7,FALSE)),0, (VLOOKUP($N292,Veg_Parameters!$A$3:$N$65,7,FALSE))))</f>
        <v>0</v>
      </c>
      <c r="BH292" s="527">
        <f>IF(ISNA(VLOOKUP($N292,Veg_Parameters!$A$3:$N$65,6,FALSE)), 0, (VLOOKUP($N292,Veg_Parameters!$A$3:$N$65,6,FALSE)))</f>
        <v>0</v>
      </c>
      <c r="BI292" s="529">
        <f t="shared" si="421"/>
        <v>20</v>
      </c>
      <c r="BJ292" s="529">
        <f t="shared" si="441"/>
        <v>0</v>
      </c>
      <c r="BK292" s="529">
        <f t="shared" si="422"/>
        <v>0</v>
      </c>
      <c r="BL292" s="530">
        <f t="shared" si="442"/>
        <v>0</v>
      </c>
      <c r="BM292" s="527" t="s">
        <v>3</v>
      </c>
      <c r="BN292" s="527">
        <f>IF(ISNA(VLOOKUP(N292,Veg_Parameters!$A$3:$N$65,8,FALSE)), 0, (VLOOKUP($N292,Veg_Parameters!$A$3:$N$65,8,FALSE)))</f>
        <v>0</v>
      </c>
      <c r="BO292" s="527">
        <f>AH292*(IF(ISNA(VLOOKUP($N292,Veg_Parameters!$A$3:$N$65,9,FALSE)), 0, (VLOOKUP($N292,Veg_Parameters!$A$3:$N$65,9,FALSE))))</f>
        <v>0</v>
      </c>
      <c r="BP292" s="527" t="str">
        <f>IF(ISBLANK(N292),"0",VLOOKUP($N292,Veg_Parameters!$A$4:$U$65,21,))</f>
        <v>0</v>
      </c>
      <c r="BQ292" s="529">
        <f t="shared" si="443"/>
        <v>0</v>
      </c>
      <c r="BR292" s="529">
        <f t="shared" si="444"/>
        <v>0</v>
      </c>
      <c r="BS292" s="529">
        <f t="shared" si="423"/>
        <v>0</v>
      </c>
      <c r="BT292" s="529">
        <f t="shared" si="445"/>
        <v>0</v>
      </c>
      <c r="BU292" s="529">
        <f t="shared" si="446"/>
        <v>0</v>
      </c>
      <c r="BV292" s="529">
        <f t="shared" si="447"/>
        <v>0</v>
      </c>
      <c r="BW292" s="532" t="str">
        <f t="shared" si="424"/>
        <v/>
      </c>
      <c r="BX292" s="532" t="str">
        <f t="shared" si="425"/>
        <v/>
      </c>
      <c r="BY292" s="532" t="str">
        <f t="shared" si="426"/>
        <v/>
      </c>
      <c r="BZ292" s="532" t="str">
        <f t="shared" si="427"/>
        <v/>
      </c>
      <c r="CA292" s="532">
        <f t="shared" si="428"/>
        <v>0</v>
      </c>
      <c r="CB292" s="533"/>
      <c r="CC292" s="624">
        <f t="shared" si="429"/>
        <v>0</v>
      </c>
      <c r="CD292" s="534">
        <f t="shared" si="430"/>
        <v>0</v>
      </c>
      <c r="CE292" s="534">
        <f t="shared" si="431"/>
        <v>0</v>
      </c>
      <c r="CF292" s="534">
        <f t="shared" si="432"/>
        <v>0</v>
      </c>
      <c r="CG292" s="534"/>
      <c r="CH292" s="534"/>
      <c r="CI292" s="534">
        <f t="shared" si="448"/>
        <v>0</v>
      </c>
      <c r="CL292" s="534">
        <f>IF(ISNA(VLOOKUP(I292,Veg_Parameters!$A$3:$N$65,13,FALSE)),0,(VLOOKUP(I292,Veg_Parameters!$A$3:$N$65,13,FALSE)))</f>
        <v>0</v>
      </c>
      <c r="CM292" s="534">
        <f t="shared" si="449"/>
        <v>0</v>
      </c>
      <c r="CN292" s="534">
        <f>IF(ISNA(VLOOKUP(N292,Veg_Parameters!$A$3:$N$65,13,FALSE)),0,(VLOOKUP(N292,Veg_Parameters!$A$3:$N$65,13,FALSE)))</f>
        <v>0</v>
      </c>
      <c r="CO292" s="523">
        <f t="shared" si="450"/>
        <v>0</v>
      </c>
    </row>
    <row r="293" spans="1:93" x14ac:dyDescent="0.2">
      <c r="A293" s="227"/>
      <c r="B293" s="171" t="str">
        <f t="shared" si="451"/>
        <v/>
      </c>
      <c r="C293" s="230"/>
      <c r="D293" s="169"/>
      <c r="E293" s="165"/>
      <c r="F293" s="165"/>
      <c r="G293" s="165"/>
      <c r="H293" s="165"/>
      <c r="I293" s="168"/>
      <c r="J293" s="167"/>
      <c r="K293" s="168"/>
      <c r="L293" s="167"/>
      <c r="M293" s="167"/>
      <c r="N293" s="168"/>
      <c r="O293" s="168"/>
      <c r="P293" s="167"/>
      <c r="Q293" s="167"/>
      <c r="R293" s="167"/>
      <c r="S293" s="222" t="str">
        <f>IF(ISBLANK(A293),"",IF(ISNA(VLOOKUP(I293,Veg_Parameters!$A$3:$N$65,3,FALSE)),0,(VLOOKUP(I293,Veg_Parameters!$A$3:$N$65,3,FALSE))))</f>
        <v/>
      </c>
      <c r="T293" s="222" t="str">
        <f>IF(ISBLANK(N293),"",IF(ISNA(VLOOKUP(N293,Veg_Parameters!$A$3:$N$65,3,FALSE)),0,(VLOOKUP(N293,Veg_Parameters!$A$3:$N$65,3,FALSE))))</f>
        <v/>
      </c>
      <c r="U293" s="523">
        <f t="shared" si="433"/>
        <v>0</v>
      </c>
      <c r="V293" s="523">
        <f t="shared" si="409"/>
        <v>0</v>
      </c>
      <c r="W293" s="524">
        <f>IF(ISBLANK(A293),0,IF(ISNA(VLOOKUP($I293,Veg_Parameters!$A$3:$N$65,10,FALSE)),0,(VLOOKUP($I293,Veg_Parameters!$A$3:$N$65,10,FALSE))))</f>
        <v>0</v>
      </c>
      <c r="X293" s="524">
        <f>IF(ISBLANK(A293),0,IF(ISNA(VLOOKUP($I293,Veg_Parameters!$A$3:$N$65,11,FALSE)),0,(VLOOKUP($I293,Veg_Parameters!$A$3:$N$65,11,FALSE))))</f>
        <v>0</v>
      </c>
      <c r="Y293" s="524">
        <f>IF(ISBLANK(A293),0,IF(ISNA(VLOOKUP($I293,Veg_Parameters!$A$3:$N$65,12,FALSE)),0,(VLOOKUP($I293,Veg_Parameters!$A$3:$N$65,12,FALSE))))</f>
        <v>0</v>
      </c>
      <c r="Z293" s="525">
        <f t="shared" si="410"/>
        <v>0</v>
      </c>
      <c r="AA293" s="525">
        <f t="shared" si="411"/>
        <v>0</v>
      </c>
      <c r="AB293" s="525">
        <f t="shared" si="412"/>
        <v>0</v>
      </c>
      <c r="AC293" s="524">
        <f>IF(ISBLANK(N293),0,IF(ISNA(VLOOKUP($N293,Veg_Parameters!$A$3:$N$65,10,FALSE)),0,(VLOOKUP($N293,Veg_Parameters!$A$3:$N$65,10,FALSE))))</f>
        <v>0</v>
      </c>
      <c r="AD293" s="524">
        <f>IF(ISBLANK(N293),0,IF(ISNA(VLOOKUP($N293,Veg_Parameters!$A$3:$N$65,11,FALSE)),0,(VLOOKUP($N293,Veg_Parameters!$A$3:$N$65,11,FALSE))))</f>
        <v>0</v>
      </c>
      <c r="AE293" s="524">
        <f>IF(ISBLANK(N293), 0, IF(ISNA(VLOOKUP($N293,Veg_Parameters!$A$3:$N$65,12,FALSE)),0,(VLOOKUP($N293,Veg_Parameters!$A$3:$N$65,12,FALSE))))</f>
        <v>0</v>
      </c>
      <c r="AF293" s="523">
        <f t="shared" si="413"/>
        <v>0</v>
      </c>
      <c r="AG293" s="523">
        <f t="shared" si="414"/>
        <v>0</v>
      </c>
      <c r="AH293" s="523">
        <f t="shared" si="415"/>
        <v>0</v>
      </c>
      <c r="AI293" s="526"/>
      <c r="AJ293" s="527">
        <f>AB293*(IF(ISNA(VLOOKUP($I293,Veg_Parameters!$A$3:$N$65,5,FALSE)),0,(VLOOKUP($I293,Veg_Parameters!$A$3:$N$65,5,FALSE))))</f>
        <v>0</v>
      </c>
      <c r="AK293" s="527">
        <f>IF(ISNA(VLOOKUP($I293,Veg_Parameters!$A$3:$N$65,4,FALSE)),0,(VLOOKUP($I293,Veg_Parameters!$A$3:$N$65,4,FALSE)))</f>
        <v>0</v>
      </c>
      <c r="AL293" s="527">
        <f>AB293*(IF(ISNA(VLOOKUP($I293,Veg_Parameters!$A$3:$N$65,7,FALSE)),0, (VLOOKUP($I293,Veg_Parameters!$A$3:$N$65,7,FALSE))))</f>
        <v>0</v>
      </c>
      <c r="AM293" s="528">
        <f>IF(ISNA(VLOOKUP($I293,Veg_Parameters!$A$3:$N$65,6,FALSE)), 0, (VLOOKUP($I293,Veg_Parameters!$A$3:$N$65,6,FALSE)))</f>
        <v>0</v>
      </c>
      <c r="AN293" s="529">
        <f t="shared" si="416"/>
        <v>20</v>
      </c>
      <c r="AO293" s="529">
        <f t="shared" si="417"/>
        <v>0</v>
      </c>
      <c r="AP293" s="529">
        <f t="shared" si="418"/>
        <v>0</v>
      </c>
      <c r="AQ293" s="530">
        <f t="shared" si="434"/>
        <v>0</v>
      </c>
      <c r="AR293" s="527" t="s">
        <v>3</v>
      </c>
      <c r="AS293" s="527">
        <f>IF(ISNA(VLOOKUP($I293,Veg_Parameters!$A$3:$N$65,8,FALSE)), 0, (VLOOKUP($I293,Veg_Parameters!$A$3:$N$65,8,FALSE)))</f>
        <v>0</v>
      </c>
      <c r="AT293" s="527">
        <f>AB293*(IF(ISNA(VLOOKUP($I293,Veg_Parameters!$A$3:$N$65,9,FALSE)), 0, (VLOOKUP($I293,Veg_Parameters!$A$3:$N$65,9,FALSE))))</f>
        <v>0</v>
      </c>
      <c r="AU293" s="527">
        <f>IF(ISBLANK(A293),0,VLOOKUP($I293,Veg_Parameters!$A$4:$U$65,21,))</f>
        <v>0</v>
      </c>
      <c r="AV293" s="527">
        <f t="shared" si="435"/>
        <v>0</v>
      </c>
      <c r="AW293" s="529">
        <f t="shared" si="436"/>
        <v>0</v>
      </c>
      <c r="AX293" s="529">
        <f t="shared" si="437"/>
        <v>0</v>
      </c>
      <c r="AY293" s="529">
        <f t="shared" si="419"/>
        <v>0</v>
      </c>
      <c r="AZ293" s="529">
        <f t="shared" si="438"/>
        <v>0</v>
      </c>
      <c r="BA293" s="529">
        <f t="shared" si="439"/>
        <v>0</v>
      </c>
      <c r="BB293" s="529">
        <f t="shared" si="440"/>
        <v>0</v>
      </c>
      <c r="BC293" s="529">
        <f t="shared" si="420"/>
        <v>0</v>
      </c>
      <c r="BD293" s="531"/>
      <c r="BE293" s="527">
        <f>AH293*(IF(ISNA(VLOOKUP($N293,Veg_Parameters!$A$3:$N$65,5,FALSE)),0,(VLOOKUP($N293,Veg_Parameters!$A$3:$N$65,5,FALSE))))</f>
        <v>0</v>
      </c>
      <c r="BF293" s="527">
        <f>IF(ISNA(VLOOKUP($N293,Veg_Parameters!$A$3:$N$65,4,FALSE)),0,(VLOOKUP($N293,Veg_Parameters!$A$3:$N$65,4,FALSE)))</f>
        <v>0</v>
      </c>
      <c r="BG293" s="527">
        <f>AH293*(IF(ISNA(VLOOKUP($N293,Veg_Parameters!$A$3:$N$65,7,FALSE)),0, (VLOOKUP($N293,Veg_Parameters!$A$3:$N$65,7,FALSE))))</f>
        <v>0</v>
      </c>
      <c r="BH293" s="527">
        <f>IF(ISNA(VLOOKUP($N293,Veg_Parameters!$A$3:$N$65,6,FALSE)), 0, (VLOOKUP($N293,Veg_Parameters!$A$3:$N$65,6,FALSE)))</f>
        <v>0</v>
      </c>
      <c r="BI293" s="529">
        <f t="shared" si="421"/>
        <v>20</v>
      </c>
      <c r="BJ293" s="529">
        <f t="shared" si="441"/>
        <v>0</v>
      </c>
      <c r="BK293" s="529">
        <f t="shared" si="422"/>
        <v>0</v>
      </c>
      <c r="BL293" s="530">
        <f t="shared" si="442"/>
        <v>0</v>
      </c>
      <c r="BM293" s="527" t="s">
        <v>3</v>
      </c>
      <c r="BN293" s="527">
        <f>IF(ISNA(VLOOKUP(N293,Veg_Parameters!$A$3:$N$65,8,FALSE)), 0, (VLOOKUP($N293,Veg_Parameters!$A$3:$N$65,8,FALSE)))</f>
        <v>0</v>
      </c>
      <c r="BO293" s="527">
        <f>AH293*(IF(ISNA(VLOOKUP($N293,Veg_Parameters!$A$3:$N$65,9,FALSE)), 0, (VLOOKUP($N293,Veg_Parameters!$A$3:$N$65,9,FALSE))))</f>
        <v>0</v>
      </c>
      <c r="BP293" s="527" t="str">
        <f>IF(ISBLANK(N293),"0",VLOOKUP($N293,Veg_Parameters!$A$4:$U$65,21,))</f>
        <v>0</v>
      </c>
      <c r="BQ293" s="529">
        <f t="shared" si="443"/>
        <v>0</v>
      </c>
      <c r="BR293" s="529">
        <f t="shared" si="444"/>
        <v>0</v>
      </c>
      <c r="BS293" s="529">
        <f t="shared" si="423"/>
        <v>0</v>
      </c>
      <c r="BT293" s="529">
        <f t="shared" si="445"/>
        <v>0</v>
      </c>
      <c r="BU293" s="529">
        <f t="shared" si="446"/>
        <v>0</v>
      </c>
      <c r="BV293" s="529">
        <f t="shared" si="447"/>
        <v>0</v>
      </c>
      <c r="BW293" s="532" t="str">
        <f t="shared" si="424"/>
        <v/>
      </c>
      <c r="BX293" s="532" t="str">
        <f t="shared" si="425"/>
        <v/>
      </c>
      <c r="BY293" s="532" t="str">
        <f t="shared" si="426"/>
        <v/>
      </c>
      <c r="BZ293" s="532" t="str">
        <f t="shared" si="427"/>
        <v/>
      </c>
      <c r="CA293" s="532">
        <f t="shared" si="428"/>
        <v>0</v>
      </c>
      <c r="CB293" s="533"/>
      <c r="CC293" s="624">
        <f t="shared" si="429"/>
        <v>0</v>
      </c>
      <c r="CD293" s="534">
        <f t="shared" si="430"/>
        <v>0</v>
      </c>
      <c r="CE293" s="534">
        <f t="shared" si="431"/>
        <v>0</v>
      </c>
      <c r="CF293" s="534">
        <f t="shared" si="432"/>
        <v>0</v>
      </c>
      <c r="CG293" s="534"/>
      <c r="CH293" s="534"/>
      <c r="CI293" s="534">
        <f t="shared" si="448"/>
        <v>0</v>
      </c>
      <c r="CL293" s="534">
        <f>IF(ISNA(VLOOKUP(I293,Veg_Parameters!$A$3:$N$65,13,FALSE)),0,(VLOOKUP(I293,Veg_Parameters!$A$3:$N$65,13,FALSE)))</f>
        <v>0</v>
      </c>
      <c r="CM293" s="534">
        <f t="shared" si="449"/>
        <v>0</v>
      </c>
      <c r="CN293" s="534">
        <f>IF(ISNA(VLOOKUP(N293,Veg_Parameters!$A$3:$N$65,13,FALSE)),0,(VLOOKUP(N293,Veg_Parameters!$A$3:$N$65,13,FALSE)))</f>
        <v>0</v>
      </c>
      <c r="CO293" s="523">
        <f t="shared" si="450"/>
        <v>0</v>
      </c>
    </row>
    <row r="294" spans="1:93" x14ac:dyDescent="0.2">
      <c r="A294" s="227"/>
      <c r="B294" s="171" t="str">
        <f t="shared" si="451"/>
        <v/>
      </c>
      <c r="C294" s="292"/>
      <c r="D294" s="234"/>
      <c r="E294" s="165"/>
      <c r="F294" s="165"/>
      <c r="G294" s="165"/>
      <c r="H294" s="165"/>
      <c r="I294" s="168"/>
      <c r="J294" s="167"/>
      <c r="K294" s="168"/>
      <c r="L294" s="167"/>
      <c r="M294" s="167"/>
      <c r="N294" s="168"/>
      <c r="O294" s="168"/>
      <c r="P294" s="167"/>
      <c r="Q294" s="167"/>
      <c r="R294" s="167"/>
      <c r="S294" s="222" t="str">
        <f>IF(ISBLANK(A294),"",IF(ISNA(VLOOKUP(I294,Veg_Parameters!$A$3:$N$65,3,FALSE)),0,(VLOOKUP(I294,Veg_Parameters!$A$3:$N$65,3,FALSE))))</f>
        <v/>
      </c>
      <c r="T294" s="222" t="str">
        <f>IF(ISBLANK(N294),"",IF(ISNA(VLOOKUP(N294,Veg_Parameters!$A$3:$N$65,3,FALSE)),0,(VLOOKUP(N294,Veg_Parameters!$A$3:$N$65,3,FALSE))))</f>
        <v/>
      </c>
      <c r="U294" s="523">
        <f t="shared" si="433"/>
        <v>0</v>
      </c>
      <c r="V294" s="523">
        <f t="shared" si="409"/>
        <v>0</v>
      </c>
      <c r="W294" s="524">
        <f>IF(ISBLANK(A294),0,IF(ISNA(VLOOKUP($I294,Veg_Parameters!$A$3:$N$65,10,FALSE)),0,(VLOOKUP($I294,Veg_Parameters!$A$3:$N$65,10,FALSE))))</f>
        <v>0</v>
      </c>
      <c r="X294" s="524">
        <f>IF(ISBLANK(A294),0,IF(ISNA(VLOOKUP($I294,Veg_Parameters!$A$3:$N$65,11,FALSE)),0,(VLOOKUP($I294,Veg_Parameters!$A$3:$N$65,11,FALSE))))</f>
        <v>0</v>
      </c>
      <c r="Y294" s="524">
        <f>IF(ISBLANK(A294),0,IF(ISNA(VLOOKUP($I294,Veg_Parameters!$A$3:$N$65,12,FALSE)),0,(VLOOKUP($I294,Veg_Parameters!$A$3:$N$65,12,FALSE))))</f>
        <v>0</v>
      </c>
      <c r="Z294" s="525">
        <f t="shared" si="410"/>
        <v>0</v>
      </c>
      <c r="AA294" s="525">
        <f t="shared" si="411"/>
        <v>0</v>
      </c>
      <c r="AB294" s="525">
        <f t="shared" si="412"/>
        <v>0</v>
      </c>
      <c r="AC294" s="524">
        <f>IF(ISBLANK(N294),0,IF(ISNA(VLOOKUP($N294,Veg_Parameters!$A$3:$N$65,10,FALSE)),0,(VLOOKUP($N294,Veg_Parameters!$A$3:$N$65,10,FALSE))))</f>
        <v>0</v>
      </c>
      <c r="AD294" s="524">
        <f>IF(ISBLANK(N294),0,IF(ISNA(VLOOKUP($N294,Veg_Parameters!$A$3:$N$65,11,FALSE)),0,(VLOOKUP($N294,Veg_Parameters!$A$3:$N$65,11,FALSE))))</f>
        <v>0</v>
      </c>
      <c r="AE294" s="524">
        <f>IF(ISBLANK(N294), 0, IF(ISNA(VLOOKUP($N294,Veg_Parameters!$A$3:$N$65,12,FALSE)),0,(VLOOKUP($N294,Veg_Parameters!$A$3:$N$65,12,FALSE))))</f>
        <v>0</v>
      </c>
      <c r="AF294" s="523">
        <f t="shared" si="413"/>
        <v>0</v>
      </c>
      <c r="AG294" s="523">
        <f t="shared" si="414"/>
        <v>0</v>
      </c>
      <c r="AH294" s="523">
        <f t="shared" si="415"/>
        <v>0</v>
      </c>
      <c r="AI294" s="526"/>
      <c r="AJ294" s="527">
        <f>AB294*(IF(ISNA(VLOOKUP($I294,Veg_Parameters!$A$3:$N$65,5,FALSE)),0,(VLOOKUP($I294,Veg_Parameters!$A$3:$N$65,5,FALSE))))</f>
        <v>0</v>
      </c>
      <c r="AK294" s="527">
        <f>IF(ISNA(VLOOKUP($I294,Veg_Parameters!$A$3:$N$65,4,FALSE)),0,(VLOOKUP($I294,Veg_Parameters!$A$3:$N$65,4,FALSE)))</f>
        <v>0</v>
      </c>
      <c r="AL294" s="527">
        <f>AB294*(IF(ISNA(VLOOKUP($I294,Veg_Parameters!$A$3:$N$65,7,FALSE)),0, (VLOOKUP($I294,Veg_Parameters!$A$3:$N$65,7,FALSE))))</f>
        <v>0</v>
      </c>
      <c r="AM294" s="528">
        <f>IF(ISNA(VLOOKUP($I294,Veg_Parameters!$A$3:$N$65,6,FALSE)), 0, (VLOOKUP($I294,Veg_Parameters!$A$3:$N$65,6,FALSE)))</f>
        <v>0</v>
      </c>
      <c r="AN294" s="529">
        <f t="shared" si="416"/>
        <v>20</v>
      </c>
      <c r="AO294" s="529">
        <f t="shared" si="417"/>
        <v>0</v>
      </c>
      <c r="AP294" s="529">
        <f t="shared" si="418"/>
        <v>0</v>
      </c>
      <c r="AQ294" s="530">
        <f t="shared" si="434"/>
        <v>0</v>
      </c>
      <c r="AR294" s="527" t="s">
        <v>3</v>
      </c>
      <c r="AS294" s="527">
        <f>IF(ISNA(VLOOKUP($I294,Veg_Parameters!$A$3:$N$65,8,FALSE)), 0, (VLOOKUP($I294,Veg_Parameters!$A$3:$N$65,8,FALSE)))</f>
        <v>0</v>
      </c>
      <c r="AT294" s="527">
        <f>AB294*(IF(ISNA(VLOOKUP($I294,Veg_Parameters!$A$3:$N$65,9,FALSE)), 0, (VLOOKUP($I294,Veg_Parameters!$A$3:$N$65,9,FALSE))))</f>
        <v>0</v>
      </c>
      <c r="AU294" s="527">
        <f>IF(ISBLANK(A294),0,VLOOKUP($I294,Veg_Parameters!$A$4:$U$65,21,))</f>
        <v>0</v>
      </c>
      <c r="AV294" s="527">
        <f t="shared" si="435"/>
        <v>0</v>
      </c>
      <c r="AW294" s="529">
        <f t="shared" si="436"/>
        <v>0</v>
      </c>
      <c r="AX294" s="529">
        <f t="shared" si="437"/>
        <v>0</v>
      </c>
      <c r="AY294" s="529">
        <f t="shared" si="419"/>
        <v>0</v>
      </c>
      <c r="AZ294" s="529">
        <f t="shared" si="438"/>
        <v>0</v>
      </c>
      <c r="BA294" s="529">
        <f t="shared" si="439"/>
        <v>0</v>
      </c>
      <c r="BB294" s="529">
        <f t="shared" si="440"/>
        <v>0</v>
      </c>
      <c r="BC294" s="529">
        <f t="shared" si="420"/>
        <v>0</v>
      </c>
      <c r="BD294" s="531"/>
      <c r="BE294" s="527">
        <f>AH294*(IF(ISNA(VLOOKUP($N294,Veg_Parameters!$A$3:$N$65,5,FALSE)),0,(VLOOKUP($N294,Veg_Parameters!$A$3:$N$65,5,FALSE))))</f>
        <v>0</v>
      </c>
      <c r="BF294" s="527">
        <f>IF(ISNA(VLOOKUP($N294,Veg_Parameters!$A$3:$N$65,4,FALSE)),0,(VLOOKUP($N294,Veg_Parameters!$A$3:$N$65,4,FALSE)))</f>
        <v>0</v>
      </c>
      <c r="BG294" s="527">
        <f>AH294*(IF(ISNA(VLOOKUP($N294,Veg_Parameters!$A$3:$N$65,7,FALSE)),0, (VLOOKUP($N294,Veg_Parameters!$A$3:$N$65,7,FALSE))))</f>
        <v>0</v>
      </c>
      <c r="BH294" s="527">
        <f>IF(ISNA(VLOOKUP($N294,Veg_Parameters!$A$3:$N$65,6,FALSE)), 0, (VLOOKUP($N294,Veg_Parameters!$A$3:$N$65,6,FALSE)))</f>
        <v>0</v>
      </c>
      <c r="BI294" s="529">
        <f t="shared" si="421"/>
        <v>20</v>
      </c>
      <c r="BJ294" s="529">
        <f t="shared" si="441"/>
        <v>0</v>
      </c>
      <c r="BK294" s="529">
        <f t="shared" si="422"/>
        <v>0</v>
      </c>
      <c r="BL294" s="530">
        <f t="shared" si="442"/>
        <v>0</v>
      </c>
      <c r="BM294" s="527" t="s">
        <v>3</v>
      </c>
      <c r="BN294" s="527">
        <f>IF(ISNA(VLOOKUP(N294,Veg_Parameters!$A$3:$N$65,8,FALSE)), 0, (VLOOKUP($N294,Veg_Parameters!$A$3:$N$65,8,FALSE)))</f>
        <v>0</v>
      </c>
      <c r="BO294" s="527">
        <f>AH294*(IF(ISNA(VLOOKUP($N294,Veg_Parameters!$A$3:$N$65,9,FALSE)), 0, (VLOOKUP($N294,Veg_Parameters!$A$3:$N$65,9,FALSE))))</f>
        <v>0</v>
      </c>
      <c r="BP294" s="527" t="str">
        <f>IF(ISBLANK(N294),"0",VLOOKUP($N294,Veg_Parameters!$A$4:$U$65,21,))</f>
        <v>0</v>
      </c>
      <c r="BQ294" s="529">
        <f t="shared" si="443"/>
        <v>0</v>
      </c>
      <c r="BR294" s="529">
        <f t="shared" si="444"/>
        <v>0</v>
      </c>
      <c r="BS294" s="529">
        <f t="shared" si="423"/>
        <v>0</v>
      </c>
      <c r="BT294" s="529">
        <f t="shared" si="445"/>
        <v>0</v>
      </c>
      <c r="BU294" s="529">
        <f t="shared" si="446"/>
        <v>0</v>
      </c>
      <c r="BV294" s="529">
        <f t="shared" si="447"/>
        <v>0</v>
      </c>
      <c r="BW294" s="532" t="str">
        <f t="shared" si="424"/>
        <v/>
      </c>
      <c r="BX294" s="532" t="str">
        <f t="shared" si="425"/>
        <v/>
      </c>
      <c r="BY294" s="532" t="str">
        <f t="shared" si="426"/>
        <v/>
      </c>
      <c r="BZ294" s="532" t="str">
        <f t="shared" si="427"/>
        <v/>
      </c>
      <c r="CA294" s="532">
        <f t="shared" si="428"/>
        <v>0</v>
      </c>
      <c r="CB294" s="533"/>
      <c r="CC294" s="624">
        <f t="shared" si="429"/>
        <v>0</v>
      </c>
      <c r="CD294" s="534">
        <f t="shared" si="430"/>
        <v>0</v>
      </c>
      <c r="CE294" s="534">
        <f t="shared" si="431"/>
        <v>0</v>
      </c>
      <c r="CF294" s="534">
        <f t="shared" si="432"/>
        <v>0</v>
      </c>
      <c r="CG294" s="534"/>
      <c r="CH294" s="534"/>
      <c r="CI294" s="534">
        <f t="shared" si="448"/>
        <v>0</v>
      </c>
      <c r="CL294" s="534">
        <f>IF(ISNA(VLOOKUP(I294,Veg_Parameters!$A$3:$N$65,13,FALSE)),0,(VLOOKUP(I294,Veg_Parameters!$A$3:$N$65,13,FALSE)))</f>
        <v>0</v>
      </c>
      <c r="CM294" s="534">
        <f t="shared" si="449"/>
        <v>0</v>
      </c>
      <c r="CN294" s="534">
        <f>IF(ISNA(VLOOKUP(N294,Veg_Parameters!$A$3:$N$65,13,FALSE)),0,(VLOOKUP(N294,Veg_Parameters!$A$3:$N$65,13,FALSE)))</f>
        <v>0</v>
      </c>
      <c r="CO294" s="523">
        <f t="shared" si="450"/>
        <v>0</v>
      </c>
    </row>
    <row r="295" spans="1:93" x14ac:dyDescent="0.2">
      <c r="A295" s="227"/>
      <c r="B295" s="171" t="str">
        <f t="shared" si="451"/>
        <v/>
      </c>
      <c r="C295" s="230"/>
      <c r="D295" s="169"/>
      <c r="E295" s="165"/>
      <c r="F295" s="165"/>
      <c r="G295" s="165"/>
      <c r="H295" s="165"/>
      <c r="I295" s="168"/>
      <c r="J295" s="167"/>
      <c r="K295" s="168"/>
      <c r="L295" s="167"/>
      <c r="M295" s="167"/>
      <c r="N295" s="168"/>
      <c r="O295" s="168"/>
      <c r="P295" s="167"/>
      <c r="Q295" s="167"/>
      <c r="R295" s="167"/>
      <c r="S295" s="222" t="str">
        <f>IF(ISBLANK(A295),"",IF(ISNA(VLOOKUP(I295,Veg_Parameters!$A$3:$N$65,3,FALSE)),0,(VLOOKUP(I295,Veg_Parameters!$A$3:$N$65,3,FALSE))))</f>
        <v/>
      </c>
      <c r="T295" s="222" t="str">
        <f>IF(ISBLANK(N295),"",IF(ISNA(VLOOKUP(N295,Veg_Parameters!$A$3:$N$65,3,FALSE)),0,(VLOOKUP(N295,Veg_Parameters!$A$3:$N$65,3,FALSE))))</f>
        <v/>
      </c>
      <c r="U295" s="523">
        <f t="shared" si="433"/>
        <v>0</v>
      </c>
      <c r="V295" s="523">
        <f t="shared" si="409"/>
        <v>0</v>
      </c>
      <c r="W295" s="524">
        <f>IF(ISBLANK(A295),0,IF(ISNA(VLOOKUP($I295,Veg_Parameters!$A$3:$N$65,10,FALSE)),0,(VLOOKUP($I295,Veg_Parameters!$A$3:$N$65,10,FALSE))))</f>
        <v>0</v>
      </c>
      <c r="X295" s="524">
        <f>IF(ISBLANK(A295),0,IF(ISNA(VLOOKUP($I295,Veg_Parameters!$A$3:$N$65,11,FALSE)),0,(VLOOKUP($I295,Veg_Parameters!$A$3:$N$65,11,FALSE))))</f>
        <v>0</v>
      </c>
      <c r="Y295" s="524">
        <f>IF(ISBLANK(A295),0,IF(ISNA(VLOOKUP($I295,Veg_Parameters!$A$3:$N$65,12,FALSE)),0,(VLOOKUP($I295,Veg_Parameters!$A$3:$N$65,12,FALSE))))</f>
        <v>0</v>
      </c>
      <c r="Z295" s="525">
        <f t="shared" si="410"/>
        <v>0</v>
      </c>
      <c r="AA295" s="525">
        <f t="shared" si="411"/>
        <v>0</v>
      </c>
      <c r="AB295" s="525">
        <f t="shared" si="412"/>
        <v>0</v>
      </c>
      <c r="AC295" s="524">
        <f>IF(ISBLANK(N295),0,IF(ISNA(VLOOKUP($N295,Veg_Parameters!$A$3:$N$65,10,FALSE)),0,(VLOOKUP($N295,Veg_Parameters!$A$3:$N$65,10,FALSE))))</f>
        <v>0</v>
      </c>
      <c r="AD295" s="524">
        <f>IF(ISBLANK(N295),0,IF(ISNA(VLOOKUP($N295,Veg_Parameters!$A$3:$N$65,11,FALSE)),0,(VLOOKUP($N295,Veg_Parameters!$A$3:$N$65,11,FALSE))))</f>
        <v>0</v>
      </c>
      <c r="AE295" s="524">
        <f>IF(ISBLANK(N295), 0, IF(ISNA(VLOOKUP($N295,Veg_Parameters!$A$3:$N$65,12,FALSE)),0,(VLOOKUP($N295,Veg_Parameters!$A$3:$N$65,12,FALSE))))</f>
        <v>0</v>
      </c>
      <c r="AF295" s="523">
        <f t="shared" si="413"/>
        <v>0</v>
      </c>
      <c r="AG295" s="523">
        <f t="shared" si="414"/>
        <v>0</v>
      </c>
      <c r="AH295" s="523">
        <f t="shared" si="415"/>
        <v>0</v>
      </c>
      <c r="AI295" s="526"/>
      <c r="AJ295" s="527">
        <f>AB295*(IF(ISNA(VLOOKUP($I295,Veg_Parameters!$A$3:$N$65,5,FALSE)),0,(VLOOKUP($I295,Veg_Parameters!$A$3:$N$65,5,FALSE))))</f>
        <v>0</v>
      </c>
      <c r="AK295" s="527">
        <f>IF(ISNA(VLOOKUP($I295,Veg_Parameters!$A$3:$N$65,4,FALSE)),0,(VLOOKUP($I295,Veg_Parameters!$A$3:$N$65,4,FALSE)))</f>
        <v>0</v>
      </c>
      <c r="AL295" s="527">
        <f>AB295*(IF(ISNA(VLOOKUP($I295,Veg_Parameters!$A$3:$N$65,7,FALSE)),0, (VLOOKUP($I295,Veg_Parameters!$A$3:$N$65,7,FALSE))))</f>
        <v>0</v>
      </c>
      <c r="AM295" s="528">
        <f>IF(ISNA(VLOOKUP($I295,Veg_Parameters!$A$3:$N$65,6,FALSE)), 0, (VLOOKUP($I295,Veg_Parameters!$A$3:$N$65,6,FALSE)))</f>
        <v>0</v>
      </c>
      <c r="AN295" s="529">
        <f t="shared" si="416"/>
        <v>20</v>
      </c>
      <c r="AO295" s="529">
        <f t="shared" si="417"/>
        <v>0</v>
      </c>
      <c r="AP295" s="529">
        <f t="shared" si="418"/>
        <v>0</v>
      </c>
      <c r="AQ295" s="530">
        <f t="shared" si="434"/>
        <v>0</v>
      </c>
      <c r="AR295" s="527" t="s">
        <v>3</v>
      </c>
      <c r="AS295" s="527">
        <f>IF(ISNA(VLOOKUP($I295,Veg_Parameters!$A$3:$N$65,8,FALSE)), 0, (VLOOKUP($I295,Veg_Parameters!$A$3:$N$65,8,FALSE)))</f>
        <v>0</v>
      </c>
      <c r="AT295" s="527">
        <f>AB295*(IF(ISNA(VLOOKUP($I295,Veg_Parameters!$A$3:$N$65,9,FALSE)), 0, (VLOOKUP($I295,Veg_Parameters!$A$3:$N$65,9,FALSE))))</f>
        <v>0</v>
      </c>
      <c r="AU295" s="527">
        <f>IF(ISBLANK(A295),0,VLOOKUP($I295,Veg_Parameters!$A$4:$U$65,21,))</f>
        <v>0</v>
      </c>
      <c r="AV295" s="527">
        <f t="shared" si="435"/>
        <v>0</v>
      </c>
      <c r="AW295" s="529">
        <f t="shared" si="436"/>
        <v>0</v>
      </c>
      <c r="AX295" s="529">
        <f t="shared" si="437"/>
        <v>0</v>
      </c>
      <c r="AY295" s="529">
        <f t="shared" si="419"/>
        <v>0</v>
      </c>
      <c r="AZ295" s="529">
        <f t="shared" si="438"/>
        <v>0</v>
      </c>
      <c r="BA295" s="529">
        <f t="shared" si="439"/>
        <v>0</v>
      </c>
      <c r="BB295" s="529">
        <f t="shared" si="440"/>
        <v>0</v>
      </c>
      <c r="BC295" s="529">
        <f t="shared" si="420"/>
        <v>0</v>
      </c>
      <c r="BD295" s="531"/>
      <c r="BE295" s="527">
        <f>AH295*(IF(ISNA(VLOOKUP($N295,Veg_Parameters!$A$3:$N$65,5,FALSE)),0,(VLOOKUP($N295,Veg_Parameters!$A$3:$N$65,5,FALSE))))</f>
        <v>0</v>
      </c>
      <c r="BF295" s="527">
        <f>IF(ISNA(VLOOKUP($N295,Veg_Parameters!$A$3:$N$65,4,FALSE)),0,(VLOOKUP($N295,Veg_Parameters!$A$3:$N$65,4,FALSE)))</f>
        <v>0</v>
      </c>
      <c r="BG295" s="527">
        <f>AH295*(IF(ISNA(VLOOKUP($N295,Veg_Parameters!$A$3:$N$65,7,FALSE)),0, (VLOOKUP($N295,Veg_Parameters!$A$3:$N$65,7,FALSE))))</f>
        <v>0</v>
      </c>
      <c r="BH295" s="527">
        <f>IF(ISNA(VLOOKUP($N295,Veg_Parameters!$A$3:$N$65,6,FALSE)), 0, (VLOOKUP($N295,Veg_Parameters!$A$3:$N$65,6,FALSE)))</f>
        <v>0</v>
      </c>
      <c r="BI295" s="529">
        <f t="shared" si="421"/>
        <v>20</v>
      </c>
      <c r="BJ295" s="529">
        <f t="shared" si="441"/>
        <v>0</v>
      </c>
      <c r="BK295" s="529">
        <f t="shared" si="422"/>
        <v>0</v>
      </c>
      <c r="BL295" s="530">
        <f t="shared" si="442"/>
        <v>0</v>
      </c>
      <c r="BM295" s="527" t="s">
        <v>3</v>
      </c>
      <c r="BN295" s="527">
        <f>IF(ISNA(VLOOKUP(N295,Veg_Parameters!$A$3:$N$65,8,FALSE)), 0, (VLOOKUP($N295,Veg_Parameters!$A$3:$N$65,8,FALSE)))</f>
        <v>0</v>
      </c>
      <c r="BO295" s="527">
        <f>AH295*(IF(ISNA(VLOOKUP($N295,Veg_Parameters!$A$3:$N$65,9,FALSE)), 0, (VLOOKUP($N295,Veg_Parameters!$A$3:$N$65,9,FALSE))))</f>
        <v>0</v>
      </c>
      <c r="BP295" s="527" t="str">
        <f>IF(ISBLANK(N295),"0",VLOOKUP($N295,Veg_Parameters!$A$4:$U$65,21,))</f>
        <v>0</v>
      </c>
      <c r="BQ295" s="529">
        <f t="shared" si="443"/>
        <v>0</v>
      </c>
      <c r="BR295" s="529">
        <f t="shared" si="444"/>
        <v>0</v>
      </c>
      <c r="BS295" s="529">
        <f t="shared" si="423"/>
        <v>0</v>
      </c>
      <c r="BT295" s="529">
        <f t="shared" si="445"/>
        <v>0</v>
      </c>
      <c r="BU295" s="529">
        <f t="shared" si="446"/>
        <v>0</v>
      </c>
      <c r="BV295" s="529">
        <f t="shared" si="447"/>
        <v>0</v>
      </c>
      <c r="BW295" s="532" t="str">
        <f t="shared" si="424"/>
        <v/>
      </c>
      <c r="BX295" s="532" t="str">
        <f t="shared" si="425"/>
        <v/>
      </c>
      <c r="BY295" s="532" t="str">
        <f t="shared" si="426"/>
        <v/>
      </c>
      <c r="BZ295" s="532" t="str">
        <f t="shared" si="427"/>
        <v/>
      </c>
      <c r="CA295" s="532">
        <f t="shared" si="428"/>
        <v>0</v>
      </c>
      <c r="CB295" s="533"/>
      <c r="CC295" s="624">
        <f t="shared" si="429"/>
        <v>0</v>
      </c>
      <c r="CD295" s="534">
        <f t="shared" si="430"/>
        <v>0</v>
      </c>
      <c r="CE295" s="534">
        <f t="shared" si="431"/>
        <v>0</v>
      </c>
      <c r="CF295" s="534">
        <f t="shared" si="432"/>
        <v>0</v>
      </c>
      <c r="CG295" s="534"/>
      <c r="CH295" s="534"/>
      <c r="CI295" s="534">
        <f t="shared" si="448"/>
        <v>0</v>
      </c>
      <c r="CL295" s="534">
        <f>IF(ISNA(VLOOKUP(I295,Veg_Parameters!$A$3:$N$65,13,FALSE)),0,(VLOOKUP(I295,Veg_Parameters!$A$3:$N$65,13,FALSE)))</f>
        <v>0</v>
      </c>
      <c r="CM295" s="534">
        <f t="shared" si="449"/>
        <v>0</v>
      </c>
      <c r="CN295" s="534">
        <f>IF(ISNA(VLOOKUP(N295,Veg_Parameters!$A$3:$N$65,13,FALSE)),0,(VLOOKUP(N295,Veg_Parameters!$A$3:$N$65,13,FALSE)))</f>
        <v>0</v>
      </c>
      <c r="CO295" s="523">
        <f t="shared" si="450"/>
        <v>0</v>
      </c>
    </row>
    <row r="296" spans="1:93" x14ac:dyDescent="0.2">
      <c r="A296" s="227"/>
      <c r="B296" s="171" t="str">
        <f t="shared" si="451"/>
        <v/>
      </c>
      <c r="C296" s="230"/>
      <c r="D296" s="169"/>
      <c r="E296" s="165"/>
      <c r="F296" s="165"/>
      <c r="G296" s="165"/>
      <c r="H296" s="165"/>
      <c r="I296" s="168"/>
      <c r="J296" s="167"/>
      <c r="K296" s="168"/>
      <c r="L296" s="167"/>
      <c r="M296" s="167"/>
      <c r="N296" s="168"/>
      <c r="O296" s="168"/>
      <c r="P296" s="167"/>
      <c r="Q296" s="167"/>
      <c r="R296" s="167"/>
      <c r="S296" s="222" t="str">
        <f>IF(ISBLANK(A296),"",IF(ISNA(VLOOKUP(I296,Veg_Parameters!$A$3:$N$65,3,FALSE)),0,(VLOOKUP(I296,Veg_Parameters!$A$3:$N$65,3,FALSE))))</f>
        <v/>
      </c>
      <c r="T296" s="222" t="str">
        <f>IF(ISBLANK(N296),"",IF(ISNA(VLOOKUP(N296,Veg_Parameters!$A$3:$N$65,3,FALSE)),0,(VLOOKUP(N296,Veg_Parameters!$A$3:$N$65,3,FALSE))))</f>
        <v/>
      </c>
      <c r="U296" s="523">
        <f t="shared" si="433"/>
        <v>0</v>
      </c>
      <c r="V296" s="523">
        <f t="shared" si="409"/>
        <v>0</v>
      </c>
      <c r="W296" s="524">
        <f>IF(ISBLANK(A296),0,IF(ISNA(VLOOKUP($I296,Veg_Parameters!$A$3:$N$65,10,FALSE)),0,(VLOOKUP($I296,Veg_Parameters!$A$3:$N$65,10,FALSE))))</f>
        <v>0</v>
      </c>
      <c r="X296" s="524">
        <f>IF(ISBLANK(A296),0,IF(ISNA(VLOOKUP($I296,Veg_Parameters!$A$3:$N$65,11,FALSE)),0,(VLOOKUP($I296,Veg_Parameters!$A$3:$N$65,11,FALSE))))</f>
        <v>0</v>
      </c>
      <c r="Y296" s="524">
        <f>IF(ISBLANK(A296),0,IF(ISNA(VLOOKUP($I296,Veg_Parameters!$A$3:$N$65,12,FALSE)),0,(VLOOKUP($I296,Veg_Parameters!$A$3:$N$65,12,FALSE))))</f>
        <v>0</v>
      </c>
      <c r="Z296" s="525">
        <f t="shared" si="410"/>
        <v>0</v>
      </c>
      <c r="AA296" s="525">
        <f t="shared" si="411"/>
        <v>0</v>
      </c>
      <c r="AB296" s="525">
        <f t="shared" si="412"/>
        <v>0</v>
      </c>
      <c r="AC296" s="524">
        <f>IF(ISBLANK(N296),0,IF(ISNA(VLOOKUP($N296,Veg_Parameters!$A$3:$N$65,10,FALSE)),0,(VLOOKUP($N296,Veg_Parameters!$A$3:$N$65,10,FALSE))))</f>
        <v>0</v>
      </c>
      <c r="AD296" s="524">
        <f>IF(ISBLANK(N296),0,IF(ISNA(VLOOKUP($N296,Veg_Parameters!$A$3:$N$65,11,FALSE)),0,(VLOOKUP($N296,Veg_Parameters!$A$3:$N$65,11,FALSE))))</f>
        <v>0</v>
      </c>
      <c r="AE296" s="524">
        <f>IF(ISBLANK(N296), 0, IF(ISNA(VLOOKUP($N296,Veg_Parameters!$A$3:$N$65,12,FALSE)),0,(VLOOKUP($N296,Veg_Parameters!$A$3:$N$65,12,FALSE))))</f>
        <v>0</v>
      </c>
      <c r="AF296" s="523">
        <f t="shared" si="413"/>
        <v>0</v>
      </c>
      <c r="AG296" s="523">
        <f t="shared" si="414"/>
        <v>0</v>
      </c>
      <c r="AH296" s="523">
        <f t="shared" si="415"/>
        <v>0</v>
      </c>
      <c r="AI296" s="526"/>
      <c r="AJ296" s="527">
        <f>AB296*(IF(ISNA(VLOOKUP($I296,Veg_Parameters!$A$3:$N$65,5,FALSE)),0,(VLOOKUP($I296,Veg_Parameters!$A$3:$N$65,5,FALSE))))</f>
        <v>0</v>
      </c>
      <c r="AK296" s="527">
        <f>IF(ISNA(VLOOKUP($I296,Veg_Parameters!$A$3:$N$65,4,FALSE)),0,(VLOOKUP($I296,Veg_Parameters!$A$3:$N$65,4,FALSE)))</f>
        <v>0</v>
      </c>
      <c r="AL296" s="527">
        <f>AB296*(IF(ISNA(VLOOKUP($I296,Veg_Parameters!$A$3:$N$65,7,FALSE)),0, (VLOOKUP($I296,Veg_Parameters!$A$3:$N$65,7,FALSE))))</f>
        <v>0</v>
      </c>
      <c r="AM296" s="528">
        <f>IF(ISNA(VLOOKUP($I296,Veg_Parameters!$A$3:$N$65,6,FALSE)), 0, (VLOOKUP($I296,Veg_Parameters!$A$3:$N$65,6,FALSE)))</f>
        <v>0</v>
      </c>
      <c r="AN296" s="529">
        <f t="shared" si="416"/>
        <v>20</v>
      </c>
      <c r="AO296" s="529">
        <f t="shared" si="417"/>
        <v>0</v>
      </c>
      <c r="AP296" s="529">
        <f t="shared" si="418"/>
        <v>0</v>
      </c>
      <c r="AQ296" s="530">
        <f t="shared" si="434"/>
        <v>0</v>
      </c>
      <c r="AR296" s="527" t="s">
        <v>3</v>
      </c>
      <c r="AS296" s="527">
        <f>IF(ISNA(VLOOKUP($I296,Veg_Parameters!$A$3:$N$65,8,FALSE)), 0, (VLOOKUP($I296,Veg_Parameters!$A$3:$N$65,8,FALSE)))</f>
        <v>0</v>
      </c>
      <c r="AT296" s="527">
        <f>AB296*(IF(ISNA(VLOOKUP($I296,Veg_Parameters!$A$3:$N$65,9,FALSE)), 0, (VLOOKUP($I296,Veg_Parameters!$A$3:$N$65,9,FALSE))))</f>
        <v>0</v>
      </c>
      <c r="AU296" s="527">
        <f>IF(ISBLANK(A296),0,VLOOKUP($I296,Veg_Parameters!$A$4:$U$65,21,))</f>
        <v>0</v>
      </c>
      <c r="AV296" s="527">
        <f t="shared" si="435"/>
        <v>0</v>
      </c>
      <c r="AW296" s="529">
        <f t="shared" si="436"/>
        <v>0</v>
      </c>
      <c r="AX296" s="529">
        <f t="shared" si="437"/>
        <v>0</v>
      </c>
      <c r="AY296" s="529">
        <f t="shared" si="419"/>
        <v>0</v>
      </c>
      <c r="AZ296" s="529">
        <f t="shared" si="438"/>
        <v>0</v>
      </c>
      <c r="BA296" s="529">
        <f t="shared" si="439"/>
        <v>0</v>
      </c>
      <c r="BB296" s="529">
        <f t="shared" si="440"/>
        <v>0</v>
      </c>
      <c r="BC296" s="529">
        <f t="shared" si="420"/>
        <v>0</v>
      </c>
      <c r="BD296" s="531"/>
      <c r="BE296" s="527">
        <f>AH296*(IF(ISNA(VLOOKUP($N296,Veg_Parameters!$A$3:$N$65,5,FALSE)),0,(VLOOKUP($N296,Veg_Parameters!$A$3:$N$65,5,FALSE))))</f>
        <v>0</v>
      </c>
      <c r="BF296" s="527">
        <f>IF(ISNA(VLOOKUP($N296,Veg_Parameters!$A$3:$N$65,4,FALSE)),0,(VLOOKUP($N296,Veg_Parameters!$A$3:$N$65,4,FALSE)))</f>
        <v>0</v>
      </c>
      <c r="BG296" s="527">
        <f>AH296*(IF(ISNA(VLOOKUP($N296,Veg_Parameters!$A$3:$N$65,7,FALSE)),0, (VLOOKUP($N296,Veg_Parameters!$A$3:$N$65,7,FALSE))))</f>
        <v>0</v>
      </c>
      <c r="BH296" s="527">
        <f>IF(ISNA(VLOOKUP($N296,Veg_Parameters!$A$3:$N$65,6,FALSE)), 0, (VLOOKUP($N296,Veg_Parameters!$A$3:$N$65,6,FALSE)))</f>
        <v>0</v>
      </c>
      <c r="BI296" s="529">
        <f t="shared" si="421"/>
        <v>20</v>
      </c>
      <c r="BJ296" s="529">
        <f t="shared" si="441"/>
        <v>0</v>
      </c>
      <c r="BK296" s="529">
        <f t="shared" si="422"/>
        <v>0</v>
      </c>
      <c r="BL296" s="530">
        <f t="shared" si="442"/>
        <v>0</v>
      </c>
      <c r="BM296" s="527" t="s">
        <v>3</v>
      </c>
      <c r="BN296" s="527">
        <f>IF(ISNA(VLOOKUP(N296,Veg_Parameters!$A$3:$N$65,8,FALSE)), 0, (VLOOKUP($N296,Veg_Parameters!$A$3:$N$65,8,FALSE)))</f>
        <v>0</v>
      </c>
      <c r="BO296" s="527">
        <f>AH296*(IF(ISNA(VLOOKUP($N296,Veg_Parameters!$A$3:$N$65,9,FALSE)), 0, (VLOOKUP($N296,Veg_Parameters!$A$3:$N$65,9,FALSE))))</f>
        <v>0</v>
      </c>
      <c r="BP296" s="527" t="str">
        <f>IF(ISBLANK(N296),"0",VLOOKUP($N296,Veg_Parameters!$A$4:$U$65,21,))</f>
        <v>0</v>
      </c>
      <c r="BQ296" s="529">
        <f t="shared" si="443"/>
        <v>0</v>
      </c>
      <c r="BR296" s="529">
        <f t="shared" si="444"/>
        <v>0</v>
      </c>
      <c r="BS296" s="529">
        <f t="shared" si="423"/>
        <v>0</v>
      </c>
      <c r="BT296" s="529">
        <f t="shared" si="445"/>
        <v>0</v>
      </c>
      <c r="BU296" s="529">
        <f t="shared" si="446"/>
        <v>0</v>
      </c>
      <c r="BV296" s="529">
        <f t="shared" si="447"/>
        <v>0</v>
      </c>
      <c r="BW296" s="532" t="str">
        <f t="shared" si="424"/>
        <v/>
      </c>
      <c r="BX296" s="532" t="str">
        <f t="shared" si="425"/>
        <v/>
      </c>
      <c r="BY296" s="532" t="str">
        <f t="shared" si="426"/>
        <v/>
      </c>
      <c r="BZ296" s="532" t="str">
        <f t="shared" si="427"/>
        <v/>
      </c>
      <c r="CA296" s="532">
        <f t="shared" si="428"/>
        <v>0</v>
      </c>
      <c r="CB296" s="533"/>
      <c r="CC296" s="624">
        <f t="shared" si="429"/>
        <v>0</v>
      </c>
      <c r="CD296" s="534">
        <f t="shared" si="430"/>
        <v>0</v>
      </c>
      <c r="CE296" s="534">
        <f t="shared" si="431"/>
        <v>0</v>
      </c>
      <c r="CF296" s="534">
        <f t="shared" si="432"/>
        <v>0</v>
      </c>
      <c r="CG296" s="534"/>
      <c r="CH296" s="534"/>
      <c r="CI296" s="534">
        <f t="shared" si="448"/>
        <v>0</v>
      </c>
      <c r="CL296" s="534">
        <f>IF(ISNA(VLOOKUP(I296,Veg_Parameters!$A$3:$N$65,13,FALSE)),0,(VLOOKUP(I296,Veg_Parameters!$A$3:$N$65,13,FALSE)))</f>
        <v>0</v>
      </c>
      <c r="CM296" s="534">
        <f t="shared" si="449"/>
        <v>0</v>
      </c>
      <c r="CN296" s="534">
        <f>IF(ISNA(VLOOKUP(N296,Veg_Parameters!$A$3:$N$65,13,FALSE)),0,(VLOOKUP(N296,Veg_Parameters!$A$3:$N$65,13,FALSE)))</f>
        <v>0</v>
      </c>
      <c r="CO296" s="523">
        <f t="shared" si="450"/>
        <v>0</v>
      </c>
    </row>
    <row r="297" spans="1:93" x14ac:dyDescent="0.2">
      <c r="A297" s="227"/>
      <c r="B297" s="171" t="str">
        <f t="shared" si="451"/>
        <v/>
      </c>
      <c r="C297" s="230"/>
      <c r="D297" s="169"/>
      <c r="E297" s="165"/>
      <c r="F297" s="165"/>
      <c r="G297" s="165"/>
      <c r="H297" s="165"/>
      <c r="I297" s="168"/>
      <c r="J297" s="167"/>
      <c r="K297" s="168"/>
      <c r="L297" s="167"/>
      <c r="M297" s="167"/>
      <c r="N297" s="168"/>
      <c r="O297" s="168"/>
      <c r="P297" s="167"/>
      <c r="Q297" s="167"/>
      <c r="R297" s="167"/>
      <c r="S297" s="222" t="str">
        <f>IF(ISBLANK(A297),"",IF(ISNA(VLOOKUP(I297,Veg_Parameters!$A$3:$N$65,3,FALSE)),0,(VLOOKUP(I297,Veg_Parameters!$A$3:$N$65,3,FALSE))))</f>
        <v/>
      </c>
      <c r="T297" s="222" t="str">
        <f>IF(ISBLANK(N297),"",IF(ISNA(VLOOKUP(N297,Veg_Parameters!$A$3:$N$65,3,FALSE)),0,(VLOOKUP(N297,Veg_Parameters!$A$3:$N$65,3,FALSE))))</f>
        <v/>
      </c>
      <c r="U297" s="523">
        <f t="shared" si="433"/>
        <v>0</v>
      </c>
      <c r="V297" s="523">
        <f t="shared" si="409"/>
        <v>0</v>
      </c>
      <c r="W297" s="524">
        <f>IF(ISBLANK(A297),0,IF(ISNA(VLOOKUP($I297,Veg_Parameters!$A$3:$N$65,10,FALSE)),0,(VLOOKUP($I297,Veg_Parameters!$A$3:$N$65,10,FALSE))))</f>
        <v>0</v>
      </c>
      <c r="X297" s="524">
        <f>IF(ISBLANK(A297),0,IF(ISNA(VLOOKUP($I297,Veg_Parameters!$A$3:$N$65,11,FALSE)),0,(VLOOKUP($I297,Veg_Parameters!$A$3:$N$65,11,FALSE))))</f>
        <v>0</v>
      </c>
      <c r="Y297" s="524">
        <f>IF(ISBLANK(A297),0,IF(ISNA(VLOOKUP($I297,Veg_Parameters!$A$3:$N$65,12,FALSE)),0,(VLOOKUP($I297,Veg_Parameters!$A$3:$N$65,12,FALSE))))</f>
        <v>0</v>
      </c>
      <c r="Z297" s="525">
        <f t="shared" si="410"/>
        <v>0</v>
      </c>
      <c r="AA297" s="525">
        <f t="shared" si="411"/>
        <v>0</v>
      </c>
      <c r="AB297" s="525">
        <f t="shared" si="412"/>
        <v>0</v>
      </c>
      <c r="AC297" s="524">
        <f>IF(ISBLANK(N297),0,IF(ISNA(VLOOKUP($N297,Veg_Parameters!$A$3:$N$65,10,FALSE)),0,(VLOOKUP($N297,Veg_Parameters!$A$3:$N$65,10,FALSE))))</f>
        <v>0</v>
      </c>
      <c r="AD297" s="524">
        <f>IF(ISBLANK(N297),0,IF(ISNA(VLOOKUP($N297,Veg_Parameters!$A$3:$N$65,11,FALSE)),0,(VLOOKUP($N297,Veg_Parameters!$A$3:$N$65,11,FALSE))))</f>
        <v>0</v>
      </c>
      <c r="AE297" s="524">
        <f>IF(ISBLANK(N297), 0, IF(ISNA(VLOOKUP($N297,Veg_Parameters!$A$3:$N$65,12,FALSE)),0,(VLOOKUP($N297,Veg_Parameters!$A$3:$N$65,12,FALSE))))</f>
        <v>0</v>
      </c>
      <c r="AF297" s="523">
        <f t="shared" si="413"/>
        <v>0</v>
      </c>
      <c r="AG297" s="523">
        <f t="shared" si="414"/>
        <v>0</v>
      </c>
      <c r="AH297" s="523">
        <f t="shared" si="415"/>
        <v>0</v>
      </c>
      <c r="AI297" s="526"/>
      <c r="AJ297" s="527">
        <f>AB297*(IF(ISNA(VLOOKUP($I297,Veg_Parameters!$A$3:$N$65,5,FALSE)),0,(VLOOKUP($I297,Veg_Parameters!$A$3:$N$65,5,FALSE))))</f>
        <v>0</v>
      </c>
      <c r="AK297" s="527">
        <f>IF(ISNA(VLOOKUP($I297,Veg_Parameters!$A$3:$N$65,4,FALSE)),0,(VLOOKUP($I297,Veg_Parameters!$A$3:$N$65,4,FALSE)))</f>
        <v>0</v>
      </c>
      <c r="AL297" s="527">
        <f>AB297*(IF(ISNA(VLOOKUP($I297,Veg_Parameters!$A$3:$N$65,7,FALSE)),0, (VLOOKUP($I297,Veg_Parameters!$A$3:$N$65,7,FALSE))))</f>
        <v>0</v>
      </c>
      <c r="AM297" s="528">
        <f>IF(ISNA(VLOOKUP($I297,Veg_Parameters!$A$3:$N$65,6,FALSE)), 0, (VLOOKUP($I297,Veg_Parameters!$A$3:$N$65,6,FALSE)))</f>
        <v>0</v>
      </c>
      <c r="AN297" s="529">
        <f t="shared" si="416"/>
        <v>20</v>
      </c>
      <c r="AO297" s="529">
        <f t="shared" si="417"/>
        <v>0</v>
      </c>
      <c r="AP297" s="529">
        <f t="shared" si="418"/>
        <v>0</v>
      </c>
      <c r="AQ297" s="530">
        <f t="shared" si="434"/>
        <v>0</v>
      </c>
      <c r="AR297" s="527" t="s">
        <v>3</v>
      </c>
      <c r="AS297" s="527">
        <f>IF(ISNA(VLOOKUP($I297,Veg_Parameters!$A$3:$N$65,8,FALSE)), 0, (VLOOKUP($I297,Veg_Parameters!$A$3:$N$65,8,FALSE)))</f>
        <v>0</v>
      </c>
      <c r="AT297" s="527">
        <f>AB297*(IF(ISNA(VLOOKUP($I297,Veg_Parameters!$A$3:$N$65,9,FALSE)), 0, (VLOOKUP($I297,Veg_Parameters!$A$3:$N$65,9,FALSE))))</f>
        <v>0</v>
      </c>
      <c r="AU297" s="527">
        <f>IF(ISBLANK(A297),0,VLOOKUP($I297,Veg_Parameters!$A$4:$U$65,21,))</f>
        <v>0</v>
      </c>
      <c r="AV297" s="527">
        <f t="shared" si="435"/>
        <v>0</v>
      </c>
      <c r="AW297" s="529">
        <f t="shared" si="436"/>
        <v>0</v>
      </c>
      <c r="AX297" s="529">
        <f t="shared" si="437"/>
        <v>0</v>
      </c>
      <c r="AY297" s="529">
        <f t="shared" si="419"/>
        <v>0</v>
      </c>
      <c r="AZ297" s="529">
        <f t="shared" si="438"/>
        <v>0</v>
      </c>
      <c r="BA297" s="529">
        <f t="shared" si="439"/>
        <v>0</v>
      </c>
      <c r="BB297" s="529">
        <f t="shared" si="440"/>
        <v>0</v>
      </c>
      <c r="BC297" s="529">
        <f t="shared" si="420"/>
        <v>0</v>
      </c>
      <c r="BD297" s="531"/>
      <c r="BE297" s="527">
        <f>AH297*(IF(ISNA(VLOOKUP($N297,Veg_Parameters!$A$3:$N$65,5,FALSE)),0,(VLOOKUP($N297,Veg_Parameters!$A$3:$N$65,5,FALSE))))</f>
        <v>0</v>
      </c>
      <c r="BF297" s="527">
        <f>IF(ISNA(VLOOKUP($N297,Veg_Parameters!$A$3:$N$65,4,FALSE)),0,(VLOOKUP($N297,Veg_Parameters!$A$3:$N$65,4,FALSE)))</f>
        <v>0</v>
      </c>
      <c r="BG297" s="527">
        <f>AH297*(IF(ISNA(VLOOKUP($N297,Veg_Parameters!$A$3:$N$65,7,FALSE)),0, (VLOOKUP($N297,Veg_Parameters!$A$3:$N$65,7,FALSE))))</f>
        <v>0</v>
      </c>
      <c r="BH297" s="527">
        <f>IF(ISNA(VLOOKUP($N297,Veg_Parameters!$A$3:$N$65,6,FALSE)), 0, (VLOOKUP($N297,Veg_Parameters!$A$3:$N$65,6,FALSE)))</f>
        <v>0</v>
      </c>
      <c r="BI297" s="529">
        <f t="shared" si="421"/>
        <v>20</v>
      </c>
      <c r="BJ297" s="529">
        <f t="shared" si="441"/>
        <v>0</v>
      </c>
      <c r="BK297" s="529">
        <f t="shared" si="422"/>
        <v>0</v>
      </c>
      <c r="BL297" s="530">
        <f t="shared" si="442"/>
        <v>0</v>
      </c>
      <c r="BM297" s="527" t="s">
        <v>3</v>
      </c>
      <c r="BN297" s="527">
        <f>IF(ISNA(VLOOKUP(N297,Veg_Parameters!$A$3:$N$65,8,FALSE)), 0, (VLOOKUP($N297,Veg_Parameters!$A$3:$N$65,8,FALSE)))</f>
        <v>0</v>
      </c>
      <c r="BO297" s="527">
        <f>AH297*(IF(ISNA(VLOOKUP($N297,Veg_Parameters!$A$3:$N$65,9,FALSE)), 0, (VLOOKUP($N297,Veg_Parameters!$A$3:$N$65,9,FALSE))))</f>
        <v>0</v>
      </c>
      <c r="BP297" s="527" t="str">
        <f>IF(ISBLANK(N297),"0",VLOOKUP($N297,Veg_Parameters!$A$4:$U$65,21,))</f>
        <v>0</v>
      </c>
      <c r="BQ297" s="529">
        <f t="shared" si="443"/>
        <v>0</v>
      </c>
      <c r="BR297" s="529">
        <f t="shared" si="444"/>
        <v>0</v>
      </c>
      <c r="BS297" s="529">
        <f t="shared" si="423"/>
        <v>0</v>
      </c>
      <c r="BT297" s="529">
        <f t="shared" si="445"/>
        <v>0</v>
      </c>
      <c r="BU297" s="529">
        <f t="shared" si="446"/>
        <v>0</v>
      </c>
      <c r="BV297" s="529">
        <f t="shared" si="447"/>
        <v>0</v>
      </c>
      <c r="BW297" s="532" t="str">
        <f t="shared" si="424"/>
        <v/>
      </c>
      <c r="BX297" s="532" t="str">
        <f t="shared" si="425"/>
        <v/>
      </c>
      <c r="BY297" s="532" t="str">
        <f t="shared" si="426"/>
        <v/>
      </c>
      <c r="BZ297" s="532" t="str">
        <f t="shared" si="427"/>
        <v/>
      </c>
      <c r="CA297" s="532">
        <f t="shared" si="428"/>
        <v>0</v>
      </c>
      <c r="CB297" s="533"/>
      <c r="CC297" s="624">
        <f t="shared" si="429"/>
        <v>0</v>
      </c>
      <c r="CD297" s="534">
        <f t="shared" si="430"/>
        <v>0</v>
      </c>
      <c r="CE297" s="534">
        <f t="shared" si="431"/>
        <v>0</v>
      </c>
      <c r="CF297" s="534">
        <f t="shared" si="432"/>
        <v>0</v>
      </c>
      <c r="CG297" s="534"/>
      <c r="CH297" s="534"/>
      <c r="CI297" s="534">
        <f t="shared" si="448"/>
        <v>0</v>
      </c>
      <c r="CL297" s="534">
        <f>IF(ISNA(VLOOKUP(I297,Veg_Parameters!$A$3:$N$65,13,FALSE)),0,(VLOOKUP(I297,Veg_Parameters!$A$3:$N$65,13,FALSE)))</f>
        <v>0</v>
      </c>
      <c r="CM297" s="534">
        <f t="shared" si="449"/>
        <v>0</v>
      </c>
      <c r="CN297" s="534">
        <f>IF(ISNA(VLOOKUP(N297,Veg_Parameters!$A$3:$N$65,13,FALSE)),0,(VLOOKUP(N297,Veg_Parameters!$A$3:$N$65,13,FALSE)))</f>
        <v>0</v>
      </c>
      <c r="CO297" s="523">
        <f t="shared" si="450"/>
        <v>0</v>
      </c>
    </row>
    <row r="298" spans="1:93" x14ac:dyDescent="0.2">
      <c r="A298" s="227"/>
      <c r="B298" s="171" t="str">
        <f t="shared" si="451"/>
        <v/>
      </c>
      <c r="C298" s="230"/>
      <c r="D298" s="169"/>
      <c r="E298" s="165"/>
      <c r="F298" s="165"/>
      <c r="G298" s="165"/>
      <c r="H298" s="165"/>
      <c r="I298" s="168"/>
      <c r="J298" s="167"/>
      <c r="K298" s="168"/>
      <c r="L298" s="167"/>
      <c r="M298" s="167"/>
      <c r="N298" s="168"/>
      <c r="O298" s="168"/>
      <c r="P298" s="167"/>
      <c r="Q298" s="167"/>
      <c r="R298" s="167"/>
      <c r="S298" s="222" t="str">
        <f>IF(ISBLANK(A298),"",IF(ISNA(VLOOKUP(I298,Veg_Parameters!$A$3:$N$65,3,FALSE)),0,(VLOOKUP(I298,Veg_Parameters!$A$3:$N$65,3,FALSE))))</f>
        <v/>
      </c>
      <c r="T298" s="222" t="str">
        <f>IF(ISBLANK(N298),"",IF(ISNA(VLOOKUP(N298,Veg_Parameters!$A$3:$N$65,3,FALSE)),0,(VLOOKUP(N298,Veg_Parameters!$A$3:$N$65,3,FALSE))))</f>
        <v/>
      </c>
      <c r="U298" s="523">
        <f t="shared" si="433"/>
        <v>0</v>
      </c>
      <c r="V298" s="523">
        <f t="shared" si="409"/>
        <v>0</v>
      </c>
      <c r="W298" s="524">
        <f>IF(ISBLANK(A298),0,IF(ISNA(VLOOKUP($I298,Veg_Parameters!$A$3:$N$65,10,FALSE)),0,(VLOOKUP($I298,Veg_Parameters!$A$3:$N$65,10,FALSE))))</f>
        <v>0</v>
      </c>
      <c r="X298" s="524">
        <f>IF(ISBLANK(A298),0,IF(ISNA(VLOOKUP($I298,Veg_Parameters!$A$3:$N$65,11,FALSE)),0,(VLOOKUP($I298,Veg_Parameters!$A$3:$N$65,11,FALSE))))</f>
        <v>0</v>
      </c>
      <c r="Y298" s="524">
        <f>IF(ISBLANK(A298),0,IF(ISNA(VLOOKUP($I298,Veg_Parameters!$A$3:$N$65,12,FALSE)),0,(VLOOKUP($I298,Veg_Parameters!$A$3:$N$65,12,FALSE))))</f>
        <v>0</v>
      </c>
      <c r="Z298" s="525">
        <f t="shared" si="410"/>
        <v>0</v>
      </c>
      <c r="AA298" s="525">
        <f t="shared" si="411"/>
        <v>0</v>
      </c>
      <c r="AB298" s="525">
        <f t="shared" si="412"/>
        <v>0</v>
      </c>
      <c r="AC298" s="524">
        <f>IF(ISBLANK(N298),0,IF(ISNA(VLOOKUP($N298,Veg_Parameters!$A$3:$N$65,10,FALSE)),0,(VLOOKUP($N298,Veg_Parameters!$A$3:$N$65,10,FALSE))))</f>
        <v>0</v>
      </c>
      <c r="AD298" s="524">
        <f>IF(ISBLANK(N298),0,IF(ISNA(VLOOKUP($N298,Veg_Parameters!$A$3:$N$65,11,FALSE)),0,(VLOOKUP($N298,Veg_Parameters!$A$3:$N$65,11,FALSE))))</f>
        <v>0</v>
      </c>
      <c r="AE298" s="524">
        <f>IF(ISBLANK(N298), 0, IF(ISNA(VLOOKUP($N298,Veg_Parameters!$A$3:$N$65,12,FALSE)),0,(VLOOKUP($N298,Veg_Parameters!$A$3:$N$65,12,FALSE))))</f>
        <v>0</v>
      </c>
      <c r="AF298" s="523">
        <f t="shared" si="413"/>
        <v>0</v>
      </c>
      <c r="AG298" s="523">
        <f t="shared" si="414"/>
        <v>0</v>
      </c>
      <c r="AH298" s="523">
        <f t="shared" si="415"/>
        <v>0</v>
      </c>
      <c r="AI298" s="526"/>
      <c r="AJ298" s="527">
        <f>AB298*(IF(ISNA(VLOOKUP($I298,Veg_Parameters!$A$3:$N$65,5,FALSE)),0,(VLOOKUP($I298,Veg_Parameters!$A$3:$N$65,5,FALSE))))</f>
        <v>0</v>
      </c>
      <c r="AK298" s="527">
        <f>IF(ISNA(VLOOKUP($I298,Veg_Parameters!$A$3:$N$65,4,FALSE)),0,(VLOOKUP($I298,Veg_Parameters!$A$3:$N$65,4,FALSE)))</f>
        <v>0</v>
      </c>
      <c r="AL298" s="527">
        <f>AB298*(IF(ISNA(VLOOKUP($I298,Veg_Parameters!$A$3:$N$65,7,FALSE)),0, (VLOOKUP($I298,Veg_Parameters!$A$3:$N$65,7,FALSE))))</f>
        <v>0</v>
      </c>
      <c r="AM298" s="528">
        <f>IF(ISNA(VLOOKUP($I298,Veg_Parameters!$A$3:$N$65,6,FALSE)), 0, (VLOOKUP($I298,Veg_Parameters!$A$3:$N$65,6,FALSE)))</f>
        <v>0</v>
      </c>
      <c r="AN298" s="529">
        <f t="shared" si="416"/>
        <v>20</v>
      </c>
      <c r="AO298" s="529">
        <f t="shared" si="417"/>
        <v>0</v>
      </c>
      <c r="AP298" s="529">
        <f t="shared" si="418"/>
        <v>0</v>
      </c>
      <c r="AQ298" s="530">
        <f t="shared" si="434"/>
        <v>0</v>
      </c>
      <c r="AR298" s="527" t="s">
        <v>3</v>
      </c>
      <c r="AS298" s="527">
        <f>IF(ISNA(VLOOKUP($I298,Veg_Parameters!$A$3:$N$65,8,FALSE)), 0, (VLOOKUP($I298,Veg_Parameters!$A$3:$N$65,8,FALSE)))</f>
        <v>0</v>
      </c>
      <c r="AT298" s="527">
        <f>AB298*(IF(ISNA(VLOOKUP($I298,Veg_Parameters!$A$3:$N$65,9,FALSE)), 0, (VLOOKUP($I298,Veg_Parameters!$A$3:$N$65,9,FALSE))))</f>
        <v>0</v>
      </c>
      <c r="AU298" s="527">
        <f>IF(ISBLANK(A298),0,VLOOKUP($I298,Veg_Parameters!$A$4:$U$65,21,))</f>
        <v>0</v>
      </c>
      <c r="AV298" s="527">
        <f t="shared" si="435"/>
        <v>0</v>
      </c>
      <c r="AW298" s="529">
        <f t="shared" si="436"/>
        <v>0</v>
      </c>
      <c r="AX298" s="529">
        <f t="shared" si="437"/>
        <v>0</v>
      </c>
      <c r="AY298" s="529">
        <f t="shared" si="419"/>
        <v>0</v>
      </c>
      <c r="AZ298" s="529">
        <f t="shared" si="438"/>
        <v>0</v>
      </c>
      <c r="BA298" s="529">
        <f t="shared" si="439"/>
        <v>0</v>
      </c>
      <c r="BB298" s="529">
        <f t="shared" si="440"/>
        <v>0</v>
      </c>
      <c r="BC298" s="529">
        <f t="shared" si="420"/>
        <v>0</v>
      </c>
      <c r="BD298" s="531"/>
      <c r="BE298" s="527">
        <f>AH298*(IF(ISNA(VLOOKUP($N298,Veg_Parameters!$A$3:$N$65,5,FALSE)),0,(VLOOKUP($N298,Veg_Parameters!$A$3:$N$65,5,FALSE))))</f>
        <v>0</v>
      </c>
      <c r="BF298" s="527">
        <f>IF(ISNA(VLOOKUP($N298,Veg_Parameters!$A$3:$N$65,4,FALSE)),0,(VLOOKUP($N298,Veg_Parameters!$A$3:$N$65,4,FALSE)))</f>
        <v>0</v>
      </c>
      <c r="BG298" s="527">
        <f>AH298*(IF(ISNA(VLOOKUP($N298,Veg_Parameters!$A$3:$N$65,7,FALSE)),0, (VLOOKUP($N298,Veg_Parameters!$A$3:$N$65,7,FALSE))))</f>
        <v>0</v>
      </c>
      <c r="BH298" s="527">
        <f>IF(ISNA(VLOOKUP($N298,Veg_Parameters!$A$3:$N$65,6,FALSE)), 0, (VLOOKUP($N298,Veg_Parameters!$A$3:$N$65,6,FALSE)))</f>
        <v>0</v>
      </c>
      <c r="BI298" s="529">
        <f t="shared" si="421"/>
        <v>20</v>
      </c>
      <c r="BJ298" s="529">
        <f t="shared" si="441"/>
        <v>0</v>
      </c>
      <c r="BK298" s="529">
        <f t="shared" si="422"/>
        <v>0</v>
      </c>
      <c r="BL298" s="530">
        <f t="shared" si="442"/>
        <v>0</v>
      </c>
      <c r="BM298" s="527" t="s">
        <v>3</v>
      </c>
      <c r="BN298" s="527">
        <f>IF(ISNA(VLOOKUP(N298,Veg_Parameters!$A$3:$N$65,8,FALSE)), 0, (VLOOKUP($N298,Veg_Parameters!$A$3:$N$65,8,FALSE)))</f>
        <v>0</v>
      </c>
      <c r="BO298" s="527">
        <f>AH298*(IF(ISNA(VLOOKUP($N298,Veg_Parameters!$A$3:$N$65,9,FALSE)), 0, (VLOOKUP($N298,Veg_Parameters!$A$3:$N$65,9,FALSE))))</f>
        <v>0</v>
      </c>
      <c r="BP298" s="527" t="str">
        <f>IF(ISBLANK(N298),"0",VLOOKUP($N298,Veg_Parameters!$A$4:$U$65,21,))</f>
        <v>0</v>
      </c>
      <c r="BQ298" s="529">
        <f t="shared" si="443"/>
        <v>0</v>
      </c>
      <c r="BR298" s="529">
        <f t="shared" si="444"/>
        <v>0</v>
      </c>
      <c r="BS298" s="529">
        <f t="shared" si="423"/>
        <v>0</v>
      </c>
      <c r="BT298" s="529">
        <f t="shared" si="445"/>
        <v>0</v>
      </c>
      <c r="BU298" s="529">
        <f t="shared" si="446"/>
        <v>0</v>
      </c>
      <c r="BV298" s="529">
        <f t="shared" si="447"/>
        <v>0</v>
      </c>
      <c r="BW298" s="532" t="str">
        <f t="shared" si="424"/>
        <v/>
      </c>
      <c r="BX298" s="532" t="str">
        <f t="shared" si="425"/>
        <v/>
      </c>
      <c r="BY298" s="532" t="str">
        <f t="shared" si="426"/>
        <v/>
      </c>
      <c r="BZ298" s="532" t="str">
        <f t="shared" si="427"/>
        <v/>
      </c>
      <c r="CA298" s="532">
        <f t="shared" si="428"/>
        <v>0</v>
      </c>
      <c r="CB298" s="533"/>
      <c r="CC298" s="624">
        <f t="shared" si="429"/>
        <v>0</v>
      </c>
      <c r="CD298" s="534">
        <f t="shared" si="430"/>
        <v>0</v>
      </c>
      <c r="CE298" s="534">
        <f t="shared" si="431"/>
        <v>0</v>
      </c>
      <c r="CF298" s="534">
        <f t="shared" si="432"/>
        <v>0</v>
      </c>
      <c r="CG298" s="534"/>
      <c r="CH298" s="534"/>
      <c r="CI298" s="534">
        <f t="shared" si="448"/>
        <v>0</v>
      </c>
      <c r="CL298" s="534">
        <f>IF(ISNA(VLOOKUP(I298,Veg_Parameters!$A$3:$N$65,13,FALSE)),0,(VLOOKUP(I298,Veg_Parameters!$A$3:$N$65,13,FALSE)))</f>
        <v>0</v>
      </c>
      <c r="CM298" s="534">
        <f t="shared" si="449"/>
        <v>0</v>
      </c>
      <c r="CN298" s="534">
        <f>IF(ISNA(VLOOKUP(N298,Veg_Parameters!$A$3:$N$65,13,FALSE)),0,(VLOOKUP(N298,Veg_Parameters!$A$3:$N$65,13,FALSE)))</f>
        <v>0</v>
      </c>
      <c r="CO298" s="523">
        <f t="shared" si="450"/>
        <v>0</v>
      </c>
    </row>
    <row r="299" spans="1:93" x14ac:dyDescent="0.2">
      <c r="A299" s="227"/>
      <c r="B299" s="171" t="str">
        <f t="shared" si="451"/>
        <v/>
      </c>
      <c r="C299" s="230"/>
      <c r="D299" s="169"/>
      <c r="E299" s="165"/>
      <c r="F299" s="165"/>
      <c r="G299" s="165"/>
      <c r="H299" s="165"/>
      <c r="I299" s="168"/>
      <c r="J299" s="167"/>
      <c r="K299" s="168"/>
      <c r="L299" s="167"/>
      <c r="M299" s="167"/>
      <c r="N299" s="168"/>
      <c r="O299" s="168"/>
      <c r="P299" s="167"/>
      <c r="Q299" s="167"/>
      <c r="R299" s="167"/>
      <c r="S299" s="222" t="str">
        <f>IF(ISBLANK(A299),"",IF(ISNA(VLOOKUP(I299,Veg_Parameters!$A$3:$N$65,3,FALSE)),0,(VLOOKUP(I299,Veg_Parameters!$A$3:$N$65,3,FALSE))))</f>
        <v/>
      </c>
      <c r="T299" s="222" t="str">
        <f>IF(ISBLANK(N299),"",IF(ISNA(VLOOKUP(N299,Veg_Parameters!$A$3:$N$65,3,FALSE)),0,(VLOOKUP(N299,Veg_Parameters!$A$3:$N$65,3,FALSE))))</f>
        <v/>
      </c>
      <c r="U299" s="523">
        <f t="shared" si="433"/>
        <v>0</v>
      </c>
      <c r="V299" s="523">
        <f t="shared" si="409"/>
        <v>0</v>
      </c>
      <c r="W299" s="524">
        <f>IF(ISBLANK(A299),0,IF(ISNA(VLOOKUP($I299,Veg_Parameters!$A$3:$N$65,10,FALSE)),0,(VLOOKUP($I299,Veg_Parameters!$A$3:$N$65,10,FALSE))))</f>
        <v>0</v>
      </c>
      <c r="X299" s="524">
        <f>IF(ISBLANK(A299),0,IF(ISNA(VLOOKUP($I299,Veg_Parameters!$A$3:$N$65,11,FALSE)),0,(VLOOKUP($I299,Veg_Parameters!$A$3:$N$65,11,FALSE))))</f>
        <v>0</v>
      </c>
      <c r="Y299" s="524">
        <f>IF(ISBLANK(A299),0,IF(ISNA(VLOOKUP($I299,Veg_Parameters!$A$3:$N$65,12,FALSE)),0,(VLOOKUP($I299,Veg_Parameters!$A$3:$N$65,12,FALSE))))</f>
        <v>0</v>
      </c>
      <c r="Z299" s="525">
        <f t="shared" si="410"/>
        <v>0</v>
      </c>
      <c r="AA299" s="525">
        <f t="shared" si="411"/>
        <v>0</v>
      </c>
      <c r="AB299" s="525">
        <f t="shared" si="412"/>
        <v>0</v>
      </c>
      <c r="AC299" s="524">
        <f>IF(ISBLANK(N299),0,IF(ISNA(VLOOKUP($N299,Veg_Parameters!$A$3:$N$65,10,FALSE)),0,(VLOOKUP($N299,Veg_Parameters!$A$3:$N$65,10,FALSE))))</f>
        <v>0</v>
      </c>
      <c r="AD299" s="524">
        <f>IF(ISBLANK(N299),0,IF(ISNA(VLOOKUP($N299,Veg_Parameters!$A$3:$N$65,11,FALSE)),0,(VLOOKUP($N299,Veg_Parameters!$A$3:$N$65,11,FALSE))))</f>
        <v>0</v>
      </c>
      <c r="AE299" s="524">
        <f>IF(ISBLANK(N299), 0, IF(ISNA(VLOOKUP($N299,Veg_Parameters!$A$3:$N$65,12,FALSE)),0,(VLOOKUP($N299,Veg_Parameters!$A$3:$N$65,12,FALSE))))</f>
        <v>0</v>
      </c>
      <c r="AF299" s="523">
        <f t="shared" si="413"/>
        <v>0</v>
      </c>
      <c r="AG299" s="523">
        <f t="shared" si="414"/>
        <v>0</v>
      </c>
      <c r="AH299" s="523">
        <f t="shared" si="415"/>
        <v>0</v>
      </c>
      <c r="AI299" s="526"/>
      <c r="AJ299" s="527">
        <f>AB299*(IF(ISNA(VLOOKUP($I299,Veg_Parameters!$A$3:$N$65,5,FALSE)),0,(VLOOKUP($I299,Veg_Parameters!$A$3:$N$65,5,FALSE))))</f>
        <v>0</v>
      </c>
      <c r="AK299" s="527">
        <f>IF(ISNA(VLOOKUP($I299,Veg_Parameters!$A$3:$N$65,4,FALSE)),0,(VLOOKUP($I299,Veg_Parameters!$A$3:$N$65,4,FALSE)))</f>
        <v>0</v>
      </c>
      <c r="AL299" s="527">
        <f>AB299*(IF(ISNA(VLOOKUP($I299,Veg_Parameters!$A$3:$N$65,7,FALSE)),0, (VLOOKUP($I299,Veg_Parameters!$A$3:$N$65,7,FALSE))))</f>
        <v>0</v>
      </c>
      <c r="AM299" s="528">
        <f>IF(ISNA(VLOOKUP($I299,Veg_Parameters!$A$3:$N$65,6,FALSE)), 0, (VLOOKUP($I299,Veg_Parameters!$A$3:$N$65,6,FALSE)))</f>
        <v>0</v>
      </c>
      <c r="AN299" s="529">
        <f t="shared" si="416"/>
        <v>20</v>
      </c>
      <c r="AO299" s="529">
        <f t="shared" si="417"/>
        <v>0</v>
      </c>
      <c r="AP299" s="529">
        <f t="shared" si="418"/>
        <v>0</v>
      </c>
      <c r="AQ299" s="530">
        <f t="shared" si="434"/>
        <v>0</v>
      </c>
      <c r="AR299" s="527" t="s">
        <v>3</v>
      </c>
      <c r="AS299" s="527">
        <f>IF(ISNA(VLOOKUP($I299,Veg_Parameters!$A$3:$N$65,8,FALSE)), 0, (VLOOKUP($I299,Veg_Parameters!$A$3:$N$65,8,FALSE)))</f>
        <v>0</v>
      </c>
      <c r="AT299" s="527">
        <f>AB299*(IF(ISNA(VLOOKUP($I299,Veg_Parameters!$A$3:$N$65,9,FALSE)), 0, (VLOOKUP($I299,Veg_Parameters!$A$3:$N$65,9,FALSE))))</f>
        <v>0</v>
      </c>
      <c r="AU299" s="527">
        <f>IF(ISBLANK(A299),0,VLOOKUP($I299,Veg_Parameters!$A$4:$U$65,21,))</f>
        <v>0</v>
      </c>
      <c r="AV299" s="527">
        <f t="shared" si="435"/>
        <v>0</v>
      </c>
      <c r="AW299" s="529">
        <f t="shared" si="436"/>
        <v>0</v>
      </c>
      <c r="AX299" s="529">
        <f t="shared" si="437"/>
        <v>0</v>
      </c>
      <c r="AY299" s="529">
        <f t="shared" si="419"/>
        <v>0</v>
      </c>
      <c r="AZ299" s="529">
        <f t="shared" si="438"/>
        <v>0</v>
      </c>
      <c r="BA299" s="529">
        <f t="shared" si="439"/>
        <v>0</v>
      </c>
      <c r="BB299" s="529">
        <f t="shared" si="440"/>
        <v>0</v>
      </c>
      <c r="BC299" s="529">
        <f t="shared" si="420"/>
        <v>0</v>
      </c>
      <c r="BD299" s="531"/>
      <c r="BE299" s="527">
        <f>AH299*(IF(ISNA(VLOOKUP($N299,Veg_Parameters!$A$3:$N$65,5,FALSE)),0,(VLOOKUP($N299,Veg_Parameters!$A$3:$N$65,5,FALSE))))</f>
        <v>0</v>
      </c>
      <c r="BF299" s="527">
        <f>IF(ISNA(VLOOKUP($N299,Veg_Parameters!$A$3:$N$65,4,FALSE)),0,(VLOOKUP($N299,Veg_Parameters!$A$3:$N$65,4,FALSE)))</f>
        <v>0</v>
      </c>
      <c r="BG299" s="527">
        <f>AH299*(IF(ISNA(VLOOKUP($N299,Veg_Parameters!$A$3:$N$65,7,FALSE)),0, (VLOOKUP($N299,Veg_Parameters!$A$3:$N$65,7,FALSE))))</f>
        <v>0</v>
      </c>
      <c r="BH299" s="527">
        <f>IF(ISNA(VLOOKUP($N299,Veg_Parameters!$A$3:$N$65,6,FALSE)), 0, (VLOOKUP($N299,Veg_Parameters!$A$3:$N$65,6,FALSE)))</f>
        <v>0</v>
      </c>
      <c r="BI299" s="529">
        <f t="shared" si="421"/>
        <v>20</v>
      </c>
      <c r="BJ299" s="529">
        <f t="shared" si="441"/>
        <v>0</v>
      </c>
      <c r="BK299" s="529">
        <f t="shared" si="422"/>
        <v>0</v>
      </c>
      <c r="BL299" s="530">
        <f t="shared" si="442"/>
        <v>0</v>
      </c>
      <c r="BM299" s="527" t="s">
        <v>3</v>
      </c>
      <c r="BN299" s="527">
        <f>IF(ISNA(VLOOKUP(N299,Veg_Parameters!$A$3:$N$65,8,FALSE)), 0, (VLOOKUP($N299,Veg_Parameters!$A$3:$N$65,8,FALSE)))</f>
        <v>0</v>
      </c>
      <c r="BO299" s="527">
        <f>AH299*(IF(ISNA(VLOOKUP($N299,Veg_Parameters!$A$3:$N$65,9,FALSE)), 0, (VLOOKUP($N299,Veg_Parameters!$A$3:$N$65,9,FALSE))))</f>
        <v>0</v>
      </c>
      <c r="BP299" s="527" t="str">
        <f>IF(ISBLANK(N299),"0",VLOOKUP($N299,Veg_Parameters!$A$4:$U$65,21,))</f>
        <v>0</v>
      </c>
      <c r="BQ299" s="529">
        <f t="shared" si="443"/>
        <v>0</v>
      </c>
      <c r="BR299" s="529">
        <f t="shared" si="444"/>
        <v>0</v>
      </c>
      <c r="BS299" s="529">
        <f t="shared" si="423"/>
        <v>0</v>
      </c>
      <c r="BT299" s="529">
        <f t="shared" si="445"/>
        <v>0</v>
      </c>
      <c r="BU299" s="529">
        <f t="shared" si="446"/>
        <v>0</v>
      </c>
      <c r="BV299" s="529">
        <f t="shared" si="447"/>
        <v>0</v>
      </c>
      <c r="BW299" s="532" t="str">
        <f t="shared" si="424"/>
        <v/>
      </c>
      <c r="BX299" s="532" t="str">
        <f t="shared" si="425"/>
        <v/>
      </c>
      <c r="BY299" s="532" t="str">
        <f t="shared" si="426"/>
        <v/>
      </c>
      <c r="BZ299" s="532" t="str">
        <f t="shared" si="427"/>
        <v/>
      </c>
      <c r="CA299" s="532">
        <f t="shared" si="428"/>
        <v>0</v>
      </c>
      <c r="CB299" s="533"/>
      <c r="CC299" s="624">
        <f t="shared" si="429"/>
        <v>0</v>
      </c>
      <c r="CD299" s="534">
        <f t="shared" si="430"/>
        <v>0</v>
      </c>
      <c r="CE299" s="534">
        <f t="shared" si="431"/>
        <v>0</v>
      </c>
      <c r="CF299" s="534">
        <f t="shared" si="432"/>
        <v>0</v>
      </c>
      <c r="CG299" s="534"/>
      <c r="CH299" s="534"/>
      <c r="CI299" s="534">
        <f t="shared" si="448"/>
        <v>0</v>
      </c>
      <c r="CL299" s="534">
        <f>IF(ISNA(VLOOKUP(I299,Veg_Parameters!$A$3:$N$65,13,FALSE)),0,(VLOOKUP(I299,Veg_Parameters!$A$3:$N$65,13,FALSE)))</f>
        <v>0</v>
      </c>
      <c r="CM299" s="534">
        <f t="shared" si="449"/>
        <v>0</v>
      </c>
      <c r="CN299" s="534">
        <f>IF(ISNA(VLOOKUP(N299,Veg_Parameters!$A$3:$N$65,13,FALSE)),0,(VLOOKUP(N299,Veg_Parameters!$A$3:$N$65,13,FALSE)))</f>
        <v>0</v>
      </c>
      <c r="CO299" s="523">
        <f t="shared" si="450"/>
        <v>0</v>
      </c>
    </row>
    <row r="300" spans="1:93" x14ac:dyDescent="0.2">
      <c r="A300" s="227"/>
      <c r="B300" s="171" t="str">
        <f t="shared" si="451"/>
        <v/>
      </c>
      <c r="C300" s="230"/>
      <c r="D300" s="169"/>
      <c r="E300" s="165"/>
      <c r="F300" s="165"/>
      <c r="G300" s="165"/>
      <c r="H300" s="165"/>
      <c r="I300" s="168"/>
      <c r="J300" s="167"/>
      <c r="K300" s="168"/>
      <c r="L300" s="167"/>
      <c r="M300" s="167"/>
      <c r="N300" s="168"/>
      <c r="O300" s="168"/>
      <c r="P300" s="167"/>
      <c r="Q300" s="167"/>
      <c r="R300" s="167"/>
      <c r="S300" s="222" t="str">
        <f>IF(ISBLANK(A300),"",IF(ISNA(VLOOKUP(I300,Veg_Parameters!$A$3:$N$65,3,FALSE)),0,(VLOOKUP(I300,Veg_Parameters!$A$3:$N$65,3,FALSE))))</f>
        <v/>
      </c>
      <c r="T300" s="222" t="str">
        <f>IF(ISBLANK(N300),"",IF(ISNA(VLOOKUP(N300,Veg_Parameters!$A$3:$N$65,3,FALSE)),0,(VLOOKUP(N300,Veg_Parameters!$A$3:$N$65,3,FALSE))))</f>
        <v/>
      </c>
      <c r="U300" s="523">
        <f t="shared" si="433"/>
        <v>0</v>
      </c>
      <c r="V300" s="523">
        <f t="shared" si="409"/>
        <v>0</v>
      </c>
      <c r="W300" s="524">
        <f>IF(ISBLANK(A300),0,IF(ISNA(VLOOKUP($I300,Veg_Parameters!$A$3:$N$65,10,FALSE)),0,(VLOOKUP($I300,Veg_Parameters!$A$3:$N$65,10,FALSE))))</f>
        <v>0</v>
      </c>
      <c r="X300" s="524">
        <f>IF(ISBLANK(A300),0,IF(ISNA(VLOOKUP($I300,Veg_Parameters!$A$3:$N$65,11,FALSE)),0,(VLOOKUP($I300,Veg_Parameters!$A$3:$N$65,11,FALSE))))</f>
        <v>0</v>
      </c>
      <c r="Y300" s="524">
        <f>IF(ISBLANK(A300),0,IF(ISNA(VLOOKUP($I300,Veg_Parameters!$A$3:$N$65,12,FALSE)),0,(VLOOKUP($I300,Veg_Parameters!$A$3:$N$65,12,FALSE))))</f>
        <v>0</v>
      </c>
      <c r="Z300" s="525">
        <f t="shared" si="410"/>
        <v>0</v>
      </c>
      <c r="AA300" s="525">
        <f t="shared" si="411"/>
        <v>0</v>
      </c>
      <c r="AB300" s="525">
        <f t="shared" si="412"/>
        <v>0</v>
      </c>
      <c r="AC300" s="524">
        <f>IF(ISBLANK(N300),0,IF(ISNA(VLOOKUP($N300,Veg_Parameters!$A$3:$N$65,10,FALSE)),0,(VLOOKUP($N300,Veg_Parameters!$A$3:$N$65,10,FALSE))))</f>
        <v>0</v>
      </c>
      <c r="AD300" s="524">
        <f>IF(ISBLANK(N300),0,IF(ISNA(VLOOKUP($N300,Veg_Parameters!$A$3:$N$65,11,FALSE)),0,(VLOOKUP($N300,Veg_Parameters!$A$3:$N$65,11,FALSE))))</f>
        <v>0</v>
      </c>
      <c r="AE300" s="524">
        <f>IF(ISBLANK(N300), 0, IF(ISNA(VLOOKUP($N300,Veg_Parameters!$A$3:$N$65,12,FALSE)),0,(VLOOKUP($N300,Veg_Parameters!$A$3:$N$65,12,FALSE))))</f>
        <v>0</v>
      </c>
      <c r="AF300" s="523">
        <f t="shared" si="413"/>
        <v>0</v>
      </c>
      <c r="AG300" s="523">
        <f t="shared" si="414"/>
        <v>0</v>
      </c>
      <c r="AH300" s="523">
        <f t="shared" si="415"/>
        <v>0</v>
      </c>
      <c r="AI300" s="526"/>
      <c r="AJ300" s="527">
        <f>AB300*(IF(ISNA(VLOOKUP($I300,Veg_Parameters!$A$3:$N$65,5,FALSE)),0,(VLOOKUP($I300,Veg_Parameters!$A$3:$N$65,5,FALSE))))</f>
        <v>0</v>
      </c>
      <c r="AK300" s="527">
        <f>IF(ISNA(VLOOKUP($I300,Veg_Parameters!$A$3:$N$65,4,FALSE)),0,(VLOOKUP($I300,Veg_Parameters!$A$3:$N$65,4,FALSE)))</f>
        <v>0</v>
      </c>
      <c r="AL300" s="527">
        <f>AB300*(IF(ISNA(VLOOKUP($I300,Veg_Parameters!$A$3:$N$65,7,FALSE)),0, (VLOOKUP($I300,Veg_Parameters!$A$3:$N$65,7,FALSE))))</f>
        <v>0</v>
      </c>
      <c r="AM300" s="528">
        <f>IF(ISNA(VLOOKUP($I300,Veg_Parameters!$A$3:$N$65,6,FALSE)), 0, (VLOOKUP($I300,Veg_Parameters!$A$3:$N$65,6,FALSE)))</f>
        <v>0</v>
      </c>
      <c r="AN300" s="529">
        <f t="shared" si="416"/>
        <v>20</v>
      </c>
      <c r="AO300" s="529">
        <f t="shared" si="417"/>
        <v>0</v>
      </c>
      <c r="AP300" s="529">
        <f t="shared" si="418"/>
        <v>0</v>
      </c>
      <c r="AQ300" s="530">
        <f t="shared" si="434"/>
        <v>0</v>
      </c>
      <c r="AR300" s="527" t="s">
        <v>3</v>
      </c>
      <c r="AS300" s="527">
        <f>IF(ISNA(VLOOKUP($I300,Veg_Parameters!$A$3:$N$65,8,FALSE)), 0, (VLOOKUP($I300,Veg_Parameters!$A$3:$N$65,8,FALSE)))</f>
        <v>0</v>
      </c>
      <c r="AT300" s="527">
        <f>AB300*(IF(ISNA(VLOOKUP($I300,Veg_Parameters!$A$3:$N$65,9,FALSE)), 0, (VLOOKUP($I300,Veg_Parameters!$A$3:$N$65,9,FALSE))))</f>
        <v>0</v>
      </c>
      <c r="AU300" s="527">
        <f>IF(ISBLANK(A300),0,VLOOKUP($I300,Veg_Parameters!$A$4:$U$65,21,))</f>
        <v>0</v>
      </c>
      <c r="AV300" s="527">
        <f t="shared" si="435"/>
        <v>0</v>
      </c>
      <c r="AW300" s="529">
        <f t="shared" si="436"/>
        <v>0</v>
      </c>
      <c r="AX300" s="529">
        <f t="shared" si="437"/>
        <v>0</v>
      </c>
      <c r="AY300" s="529">
        <f t="shared" si="419"/>
        <v>0</v>
      </c>
      <c r="AZ300" s="529">
        <f t="shared" si="438"/>
        <v>0</v>
      </c>
      <c r="BA300" s="529">
        <f t="shared" si="439"/>
        <v>0</v>
      </c>
      <c r="BB300" s="529">
        <f t="shared" si="440"/>
        <v>0</v>
      </c>
      <c r="BC300" s="529">
        <f t="shared" si="420"/>
        <v>0</v>
      </c>
      <c r="BD300" s="531"/>
      <c r="BE300" s="527">
        <f>AH300*(IF(ISNA(VLOOKUP($N300,Veg_Parameters!$A$3:$N$65,5,FALSE)),0,(VLOOKUP($N300,Veg_Parameters!$A$3:$N$65,5,FALSE))))</f>
        <v>0</v>
      </c>
      <c r="BF300" s="527">
        <f>IF(ISNA(VLOOKUP($N300,Veg_Parameters!$A$3:$N$65,4,FALSE)),0,(VLOOKUP($N300,Veg_Parameters!$A$3:$N$65,4,FALSE)))</f>
        <v>0</v>
      </c>
      <c r="BG300" s="527">
        <f>AH300*(IF(ISNA(VLOOKUP($N300,Veg_Parameters!$A$3:$N$65,7,FALSE)),0, (VLOOKUP($N300,Veg_Parameters!$A$3:$N$65,7,FALSE))))</f>
        <v>0</v>
      </c>
      <c r="BH300" s="527">
        <f>IF(ISNA(VLOOKUP($N300,Veg_Parameters!$A$3:$N$65,6,FALSE)), 0, (VLOOKUP($N300,Veg_Parameters!$A$3:$N$65,6,FALSE)))</f>
        <v>0</v>
      </c>
      <c r="BI300" s="529">
        <f t="shared" si="421"/>
        <v>20</v>
      </c>
      <c r="BJ300" s="529">
        <f t="shared" si="441"/>
        <v>0</v>
      </c>
      <c r="BK300" s="529">
        <f t="shared" si="422"/>
        <v>0</v>
      </c>
      <c r="BL300" s="530">
        <f t="shared" si="442"/>
        <v>0</v>
      </c>
      <c r="BM300" s="527" t="s">
        <v>3</v>
      </c>
      <c r="BN300" s="527">
        <f>IF(ISNA(VLOOKUP(N300,Veg_Parameters!$A$3:$N$65,8,FALSE)), 0, (VLOOKUP($N300,Veg_Parameters!$A$3:$N$65,8,FALSE)))</f>
        <v>0</v>
      </c>
      <c r="BO300" s="527">
        <f>AH300*(IF(ISNA(VLOOKUP($N300,Veg_Parameters!$A$3:$N$65,9,FALSE)), 0, (VLOOKUP($N300,Veg_Parameters!$A$3:$N$65,9,FALSE))))</f>
        <v>0</v>
      </c>
      <c r="BP300" s="527" t="str">
        <f>IF(ISBLANK(N300),"0",VLOOKUP($N300,Veg_Parameters!$A$4:$U$65,21,))</f>
        <v>0</v>
      </c>
      <c r="BQ300" s="529">
        <f t="shared" si="443"/>
        <v>0</v>
      </c>
      <c r="BR300" s="529">
        <f t="shared" si="444"/>
        <v>0</v>
      </c>
      <c r="BS300" s="529">
        <f t="shared" si="423"/>
        <v>0</v>
      </c>
      <c r="BT300" s="529">
        <f t="shared" si="445"/>
        <v>0</v>
      </c>
      <c r="BU300" s="529">
        <f t="shared" si="446"/>
        <v>0</v>
      </c>
      <c r="BV300" s="529">
        <f t="shared" si="447"/>
        <v>0</v>
      </c>
      <c r="BW300" s="532" t="str">
        <f t="shared" si="424"/>
        <v/>
      </c>
      <c r="BX300" s="532" t="str">
        <f t="shared" si="425"/>
        <v/>
      </c>
      <c r="BY300" s="532" t="str">
        <f t="shared" si="426"/>
        <v/>
      </c>
      <c r="BZ300" s="532" t="str">
        <f t="shared" si="427"/>
        <v/>
      </c>
      <c r="CA300" s="532">
        <f t="shared" si="428"/>
        <v>0</v>
      </c>
      <c r="CB300" s="533"/>
      <c r="CC300" s="624">
        <f t="shared" si="429"/>
        <v>0</v>
      </c>
      <c r="CD300" s="534">
        <f t="shared" si="430"/>
        <v>0</v>
      </c>
      <c r="CE300" s="534">
        <f t="shared" si="431"/>
        <v>0</v>
      </c>
      <c r="CF300" s="534">
        <f t="shared" si="432"/>
        <v>0</v>
      </c>
      <c r="CG300" s="534"/>
      <c r="CH300" s="534"/>
      <c r="CI300" s="534">
        <f t="shared" si="448"/>
        <v>0</v>
      </c>
      <c r="CL300" s="534">
        <f>IF(ISNA(VLOOKUP(I300,Veg_Parameters!$A$3:$N$65,13,FALSE)),0,(VLOOKUP(I300,Veg_Parameters!$A$3:$N$65,13,FALSE)))</f>
        <v>0</v>
      </c>
      <c r="CM300" s="534">
        <f t="shared" si="449"/>
        <v>0</v>
      </c>
      <c r="CN300" s="534">
        <f>IF(ISNA(VLOOKUP(N300,Veg_Parameters!$A$3:$N$65,13,FALSE)),0,(VLOOKUP(N300,Veg_Parameters!$A$3:$N$65,13,FALSE)))</f>
        <v>0</v>
      </c>
      <c r="CO300" s="523">
        <f t="shared" si="450"/>
        <v>0</v>
      </c>
    </row>
    <row r="301" spans="1:93" x14ac:dyDescent="0.2">
      <c r="A301" s="227"/>
      <c r="B301" s="171" t="str">
        <f t="shared" si="451"/>
        <v/>
      </c>
      <c r="C301" s="230"/>
      <c r="D301" s="169"/>
      <c r="E301" s="165"/>
      <c r="F301" s="165"/>
      <c r="G301" s="165"/>
      <c r="H301" s="165"/>
      <c r="I301" s="168"/>
      <c r="J301" s="167"/>
      <c r="K301" s="168"/>
      <c r="L301" s="167"/>
      <c r="M301" s="167"/>
      <c r="N301" s="168"/>
      <c r="O301" s="168"/>
      <c r="P301" s="167"/>
      <c r="Q301" s="167"/>
      <c r="R301" s="167"/>
      <c r="S301" s="222" t="str">
        <f>IF(ISBLANK(A301),"",IF(ISNA(VLOOKUP(I301,Veg_Parameters!$A$3:$N$65,3,FALSE)),0,(VLOOKUP(I301,Veg_Parameters!$A$3:$N$65,3,FALSE))))</f>
        <v/>
      </c>
      <c r="T301" s="222" t="str">
        <f>IF(ISBLANK(N301),"",IF(ISNA(VLOOKUP(N301,Veg_Parameters!$A$3:$N$65,3,FALSE)),0,(VLOOKUP(N301,Veg_Parameters!$A$3:$N$65,3,FALSE))))</f>
        <v/>
      </c>
      <c r="U301" s="523">
        <f t="shared" si="433"/>
        <v>0</v>
      </c>
      <c r="V301" s="523">
        <f t="shared" si="409"/>
        <v>0</v>
      </c>
      <c r="W301" s="524">
        <f>IF(ISBLANK(A301),0,IF(ISNA(VLOOKUP($I301,Veg_Parameters!$A$3:$N$65,10,FALSE)),0,(VLOOKUP($I301,Veg_Parameters!$A$3:$N$65,10,FALSE))))</f>
        <v>0</v>
      </c>
      <c r="X301" s="524">
        <f>IF(ISBLANK(A301),0,IF(ISNA(VLOOKUP($I301,Veg_Parameters!$A$3:$N$65,11,FALSE)),0,(VLOOKUP($I301,Veg_Parameters!$A$3:$N$65,11,FALSE))))</f>
        <v>0</v>
      </c>
      <c r="Y301" s="524">
        <f>IF(ISBLANK(A301),0,IF(ISNA(VLOOKUP($I301,Veg_Parameters!$A$3:$N$65,12,FALSE)),0,(VLOOKUP($I301,Veg_Parameters!$A$3:$N$65,12,FALSE))))</f>
        <v>0</v>
      </c>
      <c r="Z301" s="525">
        <f t="shared" si="410"/>
        <v>0</v>
      </c>
      <c r="AA301" s="525">
        <f t="shared" si="411"/>
        <v>0</v>
      </c>
      <c r="AB301" s="525">
        <f t="shared" si="412"/>
        <v>0</v>
      </c>
      <c r="AC301" s="524">
        <f>IF(ISBLANK(N301),0,IF(ISNA(VLOOKUP($N301,Veg_Parameters!$A$3:$N$65,10,FALSE)),0,(VLOOKUP($N301,Veg_Parameters!$A$3:$N$65,10,FALSE))))</f>
        <v>0</v>
      </c>
      <c r="AD301" s="524">
        <f>IF(ISBLANK(N301),0,IF(ISNA(VLOOKUP($N301,Veg_Parameters!$A$3:$N$65,11,FALSE)),0,(VLOOKUP($N301,Veg_Parameters!$A$3:$N$65,11,FALSE))))</f>
        <v>0</v>
      </c>
      <c r="AE301" s="524">
        <f>IF(ISBLANK(N301), 0, IF(ISNA(VLOOKUP($N301,Veg_Parameters!$A$3:$N$65,12,FALSE)),0,(VLOOKUP($N301,Veg_Parameters!$A$3:$N$65,12,FALSE))))</f>
        <v>0</v>
      </c>
      <c r="AF301" s="523">
        <f t="shared" si="413"/>
        <v>0</v>
      </c>
      <c r="AG301" s="523">
        <f t="shared" si="414"/>
        <v>0</v>
      </c>
      <c r="AH301" s="523">
        <f t="shared" si="415"/>
        <v>0</v>
      </c>
      <c r="AI301" s="526"/>
      <c r="AJ301" s="527">
        <f>AB301*(IF(ISNA(VLOOKUP($I301,Veg_Parameters!$A$3:$N$65,5,FALSE)),0,(VLOOKUP($I301,Veg_Parameters!$A$3:$N$65,5,FALSE))))</f>
        <v>0</v>
      </c>
      <c r="AK301" s="527">
        <f>IF(ISNA(VLOOKUP($I301,Veg_Parameters!$A$3:$N$65,4,FALSE)),0,(VLOOKUP($I301,Veg_Parameters!$A$3:$N$65,4,FALSE)))</f>
        <v>0</v>
      </c>
      <c r="AL301" s="527">
        <f>AB301*(IF(ISNA(VLOOKUP($I301,Veg_Parameters!$A$3:$N$65,7,FALSE)),0, (VLOOKUP($I301,Veg_Parameters!$A$3:$N$65,7,FALSE))))</f>
        <v>0</v>
      </c>
      <c r="AM301" s="528">
        <f>IF(ISNA(VLOOKUP($I301,Veg_Parameters!$A$3:$N$65,6,FALSE)), 0, (VLOOKUP($I301,Veg_Parameters!$A$3:$N$65,6,FALSE)))</f>
        <v>0</v>
      </c>
      <c r="AN301" s="529">
        <f t="shared" si="416"/>
        <v>20</v>
      </c>
      <c r="AO301" s="529">
        <f t="shared" si="417"/>
        <v>0</v>
      </c>
      <c r="AP301" s="529">
        <f t="shared" si="418"/>
        <v>0</v>
      </c>
      <c r="AQ301" s="530">
        <f t="shared" si="434"/>
        <v>0</v>
      </c>
      <c r="AR301" s="527" t="s">
        <v>3</v>
      </c>
      <c r="AS301" s="527">
        <f>IF(ISNA(VLOOKUP($I301,Veg_Parameters!$A$3:$N$65,8,FALSE)), 0, (VLOOKUP($I301,Veg_Parameters!$A$3:$N$65,8,FALSE)))</f>
        <v>0</v>
      </c>
      <c r="AT301" s="527">
        <f>AB301*(IF(ISNA(VLOOKUP($I301,Veg_Parameters!$A$3:$N$65,9,FALSE)), 0, (VLOOKUP($I301,Veg_Parameters!$A$3:$N$65,9,FALSE))))</f>
        <v>0</v>
      </c>
      <c r="AU301" s="527">
        <f>IF(ISBLANK(A301),0,VLOOKUP($I301,Veg_Parameters!$A$4:$U$65,21,))</f>
        <v>0</v>
      </c>
      <c r="AV301" s="527">
        <f t="shared" si="435"/>
        <v>0</v>
      </c>
      <c r="AW301" s="529">
        <f t="shared" si="436"/>
        <v>0</v>
      </c>
      <c r="AX301" s="529">
        <f t="shared" si="437"/>
        <v>0</v>
      </c>
      <c r="AY301" s="529">
        <f t="shared" si="419"/>
        <v>0</v>
      </c>
      <c r="AZ301" s="529">
        <f t="shared" si="438"/>
        <v>0</v>
      </c>
      <c r="BA301" s="529">
        <f t="shared" si="439"/>
        <v>0</v>
      </c>
      <c r="BB301" s="529">
        <f t="shared" si="440"/>
        <v>0</v>
      </c>
      <c r="BC301" s="529">
        <f t="shared" si="420"/>
        <v>0</v>
      </c>
      <c r="BD301" s="531"/>
      <c r="BE301" s="527">
        <f>AH301*(IF(ISNA(VLOOKUP($N301,Veg_Parameters!$A$3:$N$65,5,FALSE)),0,(VLOOKUP($N301,Veg_Parameters!$A$3:$N$65,5,FALSE))))</f>
        <v>0</v>
      </c>
      <c r="BF301" s="527">
        <f>IF(ISNA(VLOOKUP($N301,Veg_Parameters!$A$3:$N$65,4,FALSE)),0,(VLOOKUP($N301,Veg_Parameters!$A$3:$N$65,4,FALSE)))</f>
        <v>0</v>
      </c>
      <c r="BG301" s="527">
        <f>AH301*(IF(ISNA(VLOOKUP($N301,Veg_Parameters!$A$3:$N$65,7,FALSE)),0, (VLOOKUP($N301,Veg_Parameters!$A$3:$N$65,7,FALSE))))</f>
        <v>0</v>
      </c>
      <c r="BH301" s="527">
        <f>IF(ISNA(VLOOKUP($N301,Veg_Parameters!$A$3:$N$65,6,FALSE)), 0, (VLOOKUP($N301,Veg_Parameters!$A$3:$N$65,6,FALSE)))</f>
        <v>0</v>
      </c>
      <c r="BI301" s="529">
        <f t="shared" si="421"/>
        <v>20</v>
      </c>
      <c r="BJ301" s="529">
        <f t="shared" si="441"/>
        <v>0</v>
      </c>
      <c r="BK301" s="529">
        <f t="shared" si="422"/>
        <v>0</v>
      </c>
      <c r="BL301" s="530">
        <f t="shared" si="442"/>
        <v>0</v>
      </c>
      <c r="BM301" s="527" t="s">
        <v>3</v>
      </c>
      <c r="BN301" s="527">
        <f>IF(ISNA(VLOOKUP(N301,Veg_Parameters!$A$3:$N$65,8,FALSE)), 0, (VLOOKUP($N301,Veg_Parameters!$A$3:$N$65,8,FALSE)))</f>
        <v>0</v>
      </c>
      <c r="BO301" s="527">
        <f>AH301*(IF(ISNA(VLOOKUP($N301,Veg_Parameters!$A$3:$N$65,9,FALSE)), 0, (VLOOKUP($N301,Veg_Parameters!$A$3:$N$65,9,FALSE))))</f>
        <v>0</v>
      </c>
      <c r="BP301" s="527" t="str">
        <f>IF(ISBLANK(N301),"0",VLOOKUP($N301,Veg_Parameters!$A$4:$U$65,21,))</f>
        <v>0</v>
      </c>
      <c r="BQ301" s="529">
        <f t="shared" si="443"/>
        <v>0</v>
      </c>
      <c r="BR301" s="529">
        <f t="shared" si="444"/>
        <v>0</v>
      </c>
      <c r="BS301" s="529">
        <f t="shared" si="423"/>
        <v>0</v>
      </c>
      <c r="BT301" s="529">
        <f t="shared" si="445"/>
        <v>0</v>
      </c>
      <c r="BU301" s="529">
        <f t="shared" si="446"/>
        <v>0</v>
      </c>
      <c r="BV301" s="529">
        <f t="shared" si="447"/>
        <v>0</v>
      </c>
      <c r="BW301" s="532" t="str">
        <f t="shared" si="424"/>
        <v/>
      </c>
      <c r="BX301" s="532" t="str">
        <f t="shared" si="425"/>
        <v/>
      </c>
      <c r="BY301" s="532" t="str">
        <f t="shared" si="426"/>
        <v/>
      </c>
      <c r="BZ301" s="532" t="str">
        <f t="shared" si="427"/>
        <v/>
      </c>
      <c r="CA301" s="532">
        <f t="shared" si="428"/>
        <v>0</v>
      </c>
      <c r="CB301" s="533"/>
      <c r="CC301" s="624">
        <f t="shared" si="429"/>
        <v>0</v>
      </c>
      <c r="CD301" s="534">
        <f t="shared" si="430"/>
        <v>0</v>
      </c>
      <c r="CE301" s="534">
        <f t="shared" si="431"/>
        <v>0</v>
      </c>
      <c r="CF301" s="534">
        <f t="shared" si="432"/>
        <v>0</v>
      </c>
      <c r="CG301" s="534"/>
      <c r="CH301" s="534"/>
      <c r="CI301" s="534">
        <f t="shared" si="448"/>
        <v>0</v>
      </c>
      <c r="CL301" s="534">
        <f>IF(ISNA(VLOOKUP(I301,Veg_Parameters!$A$3:$N$65,13,FALSE)),0,(VLOOKUP(I301,Veg_Parameters!$A$3:$N$65,13,FALSE)))</f>
        <v>0</v>
      </c>
      <c r="CM301" s="534">
        <f t="shared" si="449"/>
        <v>0</v>
      </c>
      <c r="CN301" s="534">
        <f>IF(ISNA(VLOOKUP(N301,Veg_Parameters!$A$3:$N$65,13,FALSE)),0,(VLOOKUP(N301,Veg_Parameters!$A$3:$N$65,13,FALSE)))</f>
        <v>0</v>
      </c>
      <c r="CO301" s="523">
        <f t="shared" si="450"/>
        <v>0</v>
      </c>
    </row>
    <row r="302" spans="1:93" x14ac:dyDescent="0.2">
      <c r="A302" s="227"/>
      <c r="B302" s="171" t="str">
        <f t="shared" si="451"/>
        <v/>
      </c>
      <c r="C302" s="230"/>
      <c r="D302" s="169"/>
      <c r="E302" s="165"/>
      <c r="F302" s="165"/>
      <c r="G302" s="165"/>
      <c r="H302" s="165"/>
      <c r="I302" s="168"/>
      <c r="J302" s="167"/>
      <c r="K302" s="168"/>
      <c r="L302" s="167"/>
      <c r="M302" s="167"/>
      <c r="N302" s="168"/>
      <c r="O302" s="168"/>
      <c r="P302" s="167"/>
      <c r="Q302" s="167"/>
      <c r="R302" s="167"/>
      <c r="S302" s="222" t="str">
        <f>IF(ISBLANK(A302),"",IF(ISNA(VLOOKUP(I302,Veg_Parameters!$A$3:$N$65,3,FALSE)),0,(VLOOKUP(I302,Veg_Parameters!$A$3:$N$65,3,FALSE))))</f>
        <v/>
      </c>
      <c r="T302" s="222" t="str">
        <f>IF(ISBLANK(N302),"",IF(ISNA(VLOOKUP(N302,Veg_Parameters!$A$3:$N$65,3,FALSE)),0,(VLOOKUP(N302,Veg_Parameters!$A$3:$N$65,3,FALSE))))</f>
        <v/>
      </c>
      <c r="U302" s="523">
        <f t="shared" si="433"/>
        <v>0</v>
      </c>
      <c r="V302" s="523">
        <f t="shared" si="409"/>
        <v>0</v>
      </c>
      <c r="W302" s="524">
        <f>IF(ISBLANK(A302),0,IF(ISNA(VLOOKUP($I302,Veg_Parameters!$A$3:$N$65,10,FALSE)),0,(VLOOKUP($I302,Veg_Parameters!$A$3:$N$65,10,FALSE))))</f>
        <v>0</v>
      </c>
      <c r="X302" s="524">
        <f>IF(ISBLANK(A302),0,IF(ISNA(VLOOKUP($I302,Veg_Parameters!$A$3:$N$65,11,FALSE)),0,(VLOOKUP($I302,Veg_Parameters!$A$3:$N$65,11,FALSE))))</f>
        <v>0</v>
      </c>
      <c r="Y302" s="524">
        <f>IF(ISBLANK(A302),0,IF(ISNA(VLOOKUP($I302,Veg_Parameters!$A$3:$N$65,12,FALSE)),0,(VLOOKUP($I302,Veg_Parameters!$A$3:$N$65,12,FALSE))))</f>
        <v>0</v>
      </c>
      <c r="Z302" s="525">
        <f t="shared" si="410"/>
        <v>0</v>
      </c>
      <c r="AA302" s="525">
        <f t="shared" si="411"/>
        <v>0</v>
      </c>
      <c r="AB302" s="525">
        <f t="shared" si="412"/>
        <v>0</v>
      </c>
      <c r="AC302" s="524">
        <f>IF(ISBLANK(N302),0,IF(ISNA(VLOOKUP($N302,Veg_Parameters!$A$3:$N$65,10,FALSE)),0,(VLOOKUP($N302,Veg_Parameters!$A$3:$N$65,10,FALSE))))</f>
        <v>0</v>
      </c>
      <c r="AD302" s="524">
        <f>IF(ISBLANK(N302),0,IF(ISNA(VLOOKUP($N302,Veg_Parameters!$A$3:$N$65,11,FALSE)),0,(VLOOKUP($N302,Veg_Parameters!$A$3:$N$65,11,FALSE))))</f>
        <v>0</v>
      </c>
      <c r="AE302" s="524">
        <f>IF(ISBLANK(N302), 0, IF(ISNA(VLOOKUP($N302,Veg_Parameters!$A$3:$N$65,12,FALSE)),0,(VLOOKUP($N302,Veg_Parameters!$A$3:$N$65,12,FALSE))))</f>
        <v>0</v>
      </c>
      <c r="AF302" s="523">
        <f t="shared" si="413"/>
        <v>0</v>
      </c>
      <c r="AG302" s="523">
        <f t="shared" si="414"/>
        <v>0</v>
      </c>
      <c r="AH302" s="523">
        <f t="shared" si="415"/>
        <v>0</v>
      </c>
      <c r="AI302" s="526"/>
      <c r="AJ302" s="527">
        <f>AB302*(IF(ISNA(VLOOKUP($I302,Veg_Parameters!$A$3:$N$65,5,FALSE)),0,(VLOOKUP($I302,Veg_Parameters!$A$3:$N$65,5,FALSE))))</f>
        <v>0</v>
      </c>
      <c r="AK302" s="527">
        <f>IF(ISNA(VLOOKUP($I302,Veg_Parameters!$A$3:$N$65,4,FALSE)),0,(VLOOKUP($I302,Veg_Parameters!$A$3:$N$65,4,FALSE)))</f>
        <v>0</v>
      </c>
      <c r="AL302" s="527">
        <f>AB302*(IF(ISNA(VLOOKUP($I302,Veg_Parameters!$A$3:$N$65,7,FALSE)),0, (VLOOKUP($I302,Veg_Parameters!$A$3:$N$65,7,FALSE))))</f>
        <v>0</v>
      </c>
      <c r="AM302" s="528">
        <f>IF(ISNA(VLOOKUP($I302,Veg_Parameters!$A$3:$N$65,6,FALSE)), 0, (VLOOKUP($I302,Veg_Parameters!$A$3:$N$65,6,FALSE)))</f>
        <v>0</v>
      </c>
      <c r="AN302" s="529">
        <f t="shared" si="416"/>
        <v>20</v>
      </c>
      <c r="AO302" s="529">
        <f t="shared" si="417"/>
        <v>0</v>
      </c>
      <c r="AP302" s="529">
        <f t="shared" si="418"/>
        <v>0</v>
      </c>
      <c r="AQ302" s="530">
        <f t="shared" si="434"/>
        <v>0</v>
      </c>
      <c r="AR302" s="527" t="s">
        <v>3</v>
      </c>
      <c r="AS302" s="527">
        <f>IF(ISNA(VLOOKUP($I302,Veg_Parameters!$A$3:$N$65,8,FALSE)), 0, (VLOOKUP($I302,Veg_Parameters!$A$3:$N$65,8,FALSE)))</f>
        <v>0</v>
      </c>
      <c r="AT302" s="527">
        <f>AB302*(IF(ISNA(VLOOKUP($I302,Veg_Parameters!$A$3:$N$65,9,FALSE)), 0, (VLOOKUP($I302,Veg_Parameters!$A$3:$N$65,9,FALSE))))</f>
        <v>0</v>
      </c>
      <c r="AU302" s="527">
        <f>IF(ISBLANK(A302),0,VLOOKUP($I302,Veg_Parameters!$A$4:$U$65,21,))</f>
        <v>0</v>
      </c>
      <c r="AV302" s="527">
        <f t="shared" si="435"/>
        <v>0</v>
      </c>
      <c r="AW302" s="529">
        <f t="shared" si="436"/>
        <v>0</v>
      </c>
      <c r="AX302" s="529">
        <f t="shared" si="437"/>
        <v>0</v>
      </c>
      <c r="AY302" s="529">
        <f t="shared" si="419"/>
        <v>0</v>
      </c>
      <c r="AZ302" s="529">
        <f t="shared" si="438"/>
        <v>0</v>
      </c>
      <c r="BA302" s="529">
        <f t="shared" si="439"/>
        <v>0</v>
      </c>
      <c r="BB302" s="529">
        <f t="shared" si="440"/>
        <v>0</v>
      </c>
      <c r="BC302" s="529">
        <f t="shared" si="420"/>
        <v>0</v>
      </c>
      <c r="BD302" s="531"/>
      <c r="BE302" s="527">
        <f>AH302*(IF(ISNA(VLOOKUP($N302,Veg_Parameters!$A$3:$N$65,5,FALSE)),0,(VLOOKUP($N302,Veg_Parameters!$A$3:$N$65,5,FALSE))))</f>
        <v>0</v>
      </c>
      <c r="BF302" s="527">
        <f>IF(ISNA(VLOOKUP($N302,Veg_Parameters!$A$3:$N$65,4,FALSE)),0,(VLOOKUP($N302,Veg_Parameters!$A$3:$N$65,4,FALSE)))</f>
        <v>0</v>
      </c>
      <c r="BG302" s="527">
        <f>AH302*(IF(ISNA(VLOOKUP($N302,Veg_Parameters!$A$3:$N$65,7,FALSE)),0, (VLOOKUP($N302,Veg_Parameters!$A$3:$N$65,7,FALSE))))</f>
        <v>0</v>
      </c>
      <c r="BH302" s="527">
        <f>IF(ISNA(VLOOKUP($N302,Veg_Parameters!$A$3:$N$65,6,FALSE)), 0, (VLOOKUP($N302,Veg_Parameters!$A$3:$N$65,6,FALSE)))</f>
        <v>0</v>
      </c>
      <c r="BI302" s="529">
        <f t="shared" si="421"/>
        <v>20</v>
      </c>
      <c r="BJ302" s="529">
        <f t="shared" si="441"/>
        <v>0</v>
      </c>
      <c r="BK302" s="529">
        <f t="shared" si="422"/>
        <v>0</v>
      </c>
      <c r="BL302" s="530">
        <f t="shared" si="442"/>
        <v>0</v>
      </c>
      <c r="BM302" s="527" t="s">
        <v>3</v>
      </c>
      <c r="BN302" s="527">
        <f>IF(ISNA(VLOOKUP(N302,Veg_Parameters!$A$3:$N$65,8,FALSE)), 0, (VLOOKUP($N302,Veg_Parameters!$A$3:$N$65,8,FALSE)))</f>
        <v>0</v>
      </c>
      <c r="BO302" s="527">
        <f>AH302*(IF(ISNA(VLOOKUP($N302,Veg_Parameters!$A$3:$N$65,9,FALSE)), 0, (VLOOKUP($N302,Veg_Parameters!$A$3:$N$65,9,FALSE))))</f>
        <v>0</v>
      </c>
      <c r="BP302" s="527" t="str">
        <f>IF(ISBLANK(N302),"0",VLOOKUP($N302,Veg_Parameters!$A$4:$U$65,21,))</f>
        <v>0</v>
      </c>
      <c r="BQ302" s="529">
        <f t="shared" si="443"/>
        <v>0</v>
      </c>
      <c r="BR302" s="529">
        <f t="shared" si="444"/>
        <v>0</v>
      </c>
      <c r="BS302" s="529">
        <f t="shared" si="423"/>
        <v>0</v>
      </c>
      <c r="BT302" s="529">
        <f t="shared" si="445"/>
        <v>0</v>
      </c>
      <c r="BU302" s="529">
        <f t="shared" si="446"/>
        <v>0</v>
      </c>
      <c r="BV302" s="529">
        <f t="shared" si="447"/>
        <v>0</v>
      </c>
      <c r="BW302" s="532" t="str">
        <f t="shared" si="424"/>
        <v/>
      </c>
      <c r="BX302" s="532" t="str">
        <f t="shared" si="425"/>
        <v/>
      </c>
      <c r="BY302" s="532" t="str">
        <f t="shared" si="426"/>
        <v/>
      </c>
      <c r="BZ302" s="532" t="str">
        <f t="shared" si="427"/>
        <v/>
      </c>
      <c r="CA302" s="532">
        <f t="shared" si="428"/>
        <v>0</v>
      </c>
      <c r="CB302" s="533"/>
      <c r="CC302" s="624">
        <f t="shared" si="429"/>
        <v>0</v>
      </c>
      <c r="CD302" s="534">
        <f t="shared" si="430"/>
        <v>0</v>
      </c>
      <c r="CE302" s="534">
        <f t="shared" si="431"/>
        <v>0</v>
      </c>
      <c r="CF302" s="534">
        <f t="shared" si="432"/>
        <v>0</v>
      </c>
      <c r="CG302" s="534"/>
      <c r="CH302" s="534"/>
      <c r="CI302" s="534">
        <f t="shared" si="448"/>
        <v>0</v>
      </c>
      <c r="CL302" s="534">
        <f>IF(ISNA(VLOOKUP(I302,Veg_Parameters!$A$3:$N$65,13,FALSE)),0,(VLOOKUP(I302,Veg_Parameters!$A$3:$N$65,13,FALSE)))</f>
        <v>0</v>
      </c>
      <c r="CM302" s="534">
        <f t="shared" si="449"/>
        <v>0</v>
      </c>
      <c r="CN302" s="534">
        <f>IF(ISNA(VLOOKUP(N302,Veg_Parameters!$A$3:$N$65,13,FALSE)),0,(VLOOKUP(N302,Veg_Parameters!$A$3:$N$65,13,FALSE)))</f>
        <v>0</v>
      </c>
      <c r="CO302" s="523">
        <f t="shared" si="450"/>
        <v>0</v>
      </c>
    </row>
    <row r="303" spans="1:93" x14ac:dyDescent="0.2">
      <c r="A303" s="227"/>
      <c r="B303" s="171" t="str">
        <f t="shared" si="451"/>
        <v/>
      </c>
      <c r="C303" s="230"/>
      <c r="D303" s="169"/>
      <c r="E303" s="165"/>
      <c r="F303" s="165"/>
      <c r="G303" s="165"/>
      <c r="H303" s="165"/>
      <c r="I303" s="168"/>
      <c r="J303" s="167"/>
      <c r="K303" s="168"/>
      <c r="L303" s="167"/>
      <c r="M303" s="167"/>
      <c r="N303" s="168"/>
      <c r="O303" s="168"/>
      <c r="P303" s="167"/>
      <c r="Q303" s="167"/>
      <c r="R303" s="167"/>
      <c r="S303" s="222" t="str">
        <f>IF(ISBLANK(A303),"",IF(ISNA(VLOOKUP(I303,Veg_Parameters!$A$3:$N$65,3,FALSE)),0,(VLOOKUP(I303,Veg_Parameters!$A$3:$N$65,3,FALSE))))</f>
        <v/>
      </c>
      <c r="T303" s="222" t="str">
        <f>IF(ISBLANK(N303),"",IF(ISNA(VLOOKUP(N303,Veg_Parameters!$A$3:$N$65,3,FALSE)),0,(VLOOKUP(N303,Veg_Parameters!$A$3:$N$65,3,FALSE))))</f>
        <v/>
      </c>
      <c r="U303" s="523">
        <f t="shared" si="433"/>
        <v>0</v>
      </c>
      <c r="V303" s="523">
        <f t="shared" si="409"/>
        <v>0</v>
      </c>
      <c r="W303" s="524">
        <f>IF(ISBLANK(A303),0,IF(ISNA(VLOOKUP($I303,Veg_Parameters!$A$3:$N$65,10,FALSE)),0,(VLOOKUP($I303,Veg_Parameters!$A$3:$N$65,10,FALSE))))</f>
        <v>0</v>
      </c>
      <c r="X303" s="524">
        <f>IF(ISBLANK(A303),0,IF(ISNA(VLOOKUP($I303,Veg_Parameters!$A$3:$N$65,11,FALSE)),0,(VLOOKUP($I303,Veg_Parameters!$A$3:$N$65,11,FALSE))))</f>
        <v>0</v>
      </c>
      <c r="Y303" s="524">
        <f>IF(ISBLANK(A303),0,IF(ISNA(VLOOKUP($I303,Veg_Parameters!$A$3:$N$65,12,FALSE)),0,(VLOOKUP($I303,Veg_Parameters!$A$3:$N$65,12,FALSE))))</f>
        <v>0</v>
      </c>
      <c r="Z303" s="525">
        <f t="shared" si="410"/>
        <v>0</v>
      </c>
      <c r="AA303" s="525">
        <f t="shared" si="411"/>
        <v>0</v>
      </c>
      <c r="AB303" s="525">
        <f t="shared" si="412"/>
        <v>0</v>
      </c>
      <c r="AC303" s="524">
        <f>IF(ISBLANK(N303),0,IF(ISNA(VLOOKUP($N303,Veg_Parameters!$A$3:$N$65,10,FALSE)),0,(VLOOKUP($N303,Veg_Parameters!$A$3:$N$65,10,FALSE))))</f>
        <v>0</v>
      </c>
      <c r="AD303" s="524">
        <f>IF(ISBLANK(N303),0,IF(ISNA(VLOOKUP($N303,Veg_Parameters!$A$3:$N$65,11,FALSE)),0,(VLOOKUP($N303,Veg_Parameters!$A$3:$N$65,11,FALSE))))</f>
        <v>0</v>
      </c>
      <c r="AE303" s="524">
        <f>IF(ISBLANK(N303), 0, IF(ISNA(VLOOKUP($N303,Veg_Parameters!$A$3:$N$65,12,FALSE)),0,(VLOOKUP($N303,Veg_Parameters!$A$3:$N$65,12,FALSE))))</f>
        <v>0</v>
      </c>
      <c r="AF303" s="523">
        <f t="shared" si="413"/>
        <v>0</v>
      </c>
      <c r="AG303" s="523">
        <f t="shared" si="414"/>
        <v>0</v>
      </c>
      <c r="AH303" s="523">
        <f t="shared" si="415"/>
        <v>0</v>
      </c>
      <c r="AI303" s="526"/>
      <c r="AJ303" s="527">
        <f>AB303*(IF(ISNA(VLOOKUP($I303,Veg_Parameters!$A$3:$N$65,5,FALSE)),0,(VLOOKUP($I303,Veg_Parameters!$A$3:$N$65,5,FALSE))))</f>
        <v>0</v>
      </c>
      <c r="AK303" s="527">
        <f>IF(ISNA(VLOOKUP($I303,Veg_Parameters!$A$3:$N$65,4,FALSE)),0,(VLOOKUP($I303,Veg_Parameters!$A$3:$N$65,4,FALSE)))</f>
        <v>0</v>
      </c>
      <c r="AL303" s="527">
        <f>AB303*(IF(ISNA(VLOOKUP($I303,Veg_Parameters!$A$3:$N$65,7,FALSE)),0, (VLOOKUP($I303,Veg_Parameters!$A$3:$N$65,7,FALSE))))</f>
        <v>0</v>
      </c>
      <c r="AM303" s="528">
        <f>IF(ISNA(VLOOKUP($I303,Veg_Parameters!$A$3:$N$65,6,FALSE)), 0, (VLOOKUP($I303,Veg_Parameters!$A$3:$N$65,6,FALSE)))</f>
        <v>0</v>
      </c>
      <c r="AN303" s="529">
        <f t="shared" si="416"/>
        <v>20</v>
      </c>
      <c r="AO303" s="529">
        <f t="shared" si="417"/>
        <v>0</v>
      </c>
      <c r="AP303" s="529">
        <f t="shared" si="418"/>
        <v>0</v>
      </c>
      <c r="AQ303" s="530">
        <f t="shared" si="434"/>
        <v>0</v>
      </c>
      <c r="AR303" s="527" t="s">
        <v>3</v>
      </c>
      <c r="AS303" s="527">
        <f>IF(ISNA(VLOOKUP($I303,Veg_Parameters!$A$3:$N$65,8,FALSE)), 0, (VLOOKUP($I303,Veg_Parameters!$A$3:$N$65,8,FALSE)))</f>
        <v>0</v>
      </c>
      <c r="AT303" s="527">
        <f>AB303*(IF(ISNA(VLOOKUP($I303,Veg_Parameters!$A$3:$N$65,9,FALSE)), 0, (VLOOKUP($I303,Veg_Parameters!$A$3:$N$65,9,FALSE))))</f>
        <v>0</v>
      </c>
      <c r="AU303" s="527">
        <f>IF(ISBLANK(A303),0,VLOOKUP($I303,Veg_Parameters!$A$4:$U$65,21,))</f>
        <v>0</v>
      </c>
      <c r="AV303" s="527">
        <f t="shared" si="435"/>
        <v>0</v>
      </c>
      <c r="AW303" s="529">
        <f t="shared" si="436"/>
        <v>0</v>
      </c>
      <c r="AX303" s="529">
        <f t="shared" si="437"/>
        <v>0</v>
      </c>
      <c r="AY303" s="529">
        <f t="shared" si="419"/>
        <v>0</v>
      </c>
      <c r="AZ303" s="529">
        <f t="shared" si="438"/>
        <v>0</v>
      </c>
      <c r="BA303" s="529">
        <f t="shared" si="439"/>
        <v>0</v>
      </c>
      <c r="BB303" s="529">
        <f t="shared" si="440"/>
        <v>0</v>
      </c>
      <c r="BC303" s="529">
        <f t="shared" si="420"/>
        <v>0</v>
      </c>
      <c r="BD303" s="531"/>
      <c r="BE303" s="527">
        <f>AH303*(IF(ISNA(VLOOKUP($N303,Veg_Parameters!$A$3:$N$65,5,FALSE)),0,(VLOOKUP($N303,Veg_Parameters!$A$3:$N$65,5,FALSE))))</f>
        <v>0</v>
      </c>
      <c r="BF303" s="527">
        <f>IF(ISNA(VLOOKUP($N303,Veg_Parameters!$A$3:$N$65,4,FALSE)),0,(VLOOKUP($N303,Veg_Parameters!$A$3:$N$65,4,FALSE)))</f>
        <v>0</v>
      </c>
      <c r="BG303" s="527">
        <f>AH303*(IF(ISNA(VLOOKUP($N303,Veg_Parameters!$A$3:$N$65,7,FALSE)),0, (VLOOKUP($N303,Veg_Parameters!$A$3:$N$65,7,FALSE))))</f>
        <v>0</v>
      </c>
      <c r="BH303" s="527">
        <f>IF(ISNA(VLOOKUP($N303,Veg_Parameters!$A$3:$N$65,6,FALSE)), 0, (VLOOKUP($N303,Veg_Parameters!$A$3:$N$65,6,FALSE)))</f>
        <v>0</v>
      </c>
      <c r="BI303" s="529">
        <f t="shared" si="421"/>
        <v>20</v>
      </c>
      <c r="BJ303" s="529">
        <f t="shared" si="441"/>
        <v>0</v>
      </c>
      <c r="BK303" s="529">
        <f t="shared" si="422"/>
        <v>0</v>
      </c>
      <c r="BL303" s="530">
        <f t="shared" si="442"/>
        <v>0</v>
      </c>
      <c r="BM303" s="527" t="s">
        <v>3</v>
      </c>
      <c r="BN303" s="527">
        <f>IF(ISNA(VLOOKUP(N303,Veg_Parameters!$A$3:$N$65,8,FALSE)), 0, (VLOOKUP($N303,Veg_Parameters!$A$3:$N$65,8,FALSE)))</f>
        <v>0</v>
      </c>
      <c r="BO303" s="527">
        <f>AH303*(IF(ISNA(VLOOKUP($N303,Veg_Parameters!$A$3:$N$65,9,FALSE)), 0, (VLOOKUP($N303,Veg_Parameters!$A$3:$N$65,9,FALSE))))</f>
        <v>0</v>
      </c>
      <c r="BP303" s="527" t="str">
        <f>IF(ISBLANK(N303),"0",VLOOKUP($N303,Veg_Parameters!$A$4:$U$65,21,))</f>
        <v>0</v>
      </c>
      <c r="BQ303" s="529">
        <f t="shared" si="443"/>
        <v>0</v>
      </c>
      <c r="BR303" s="529">
        <f t="shared" si="444"/>
        <v>0</v>
      </c>
      <c r="BS303" s="529">
        <f t="shared" si="423"/>
        <v>0</v>
      </c>
      <c r="BT303" s="529">
        <f t="shared" si="445"/>
        <v>0</v>
      </c>
      <c r="BU303" s="529">
        <f t="shared" si="446"/>
        <v>0</v>
      </c>
      <c r="BV303" s="529">
        <f t="shared" si="447"/>
        <v>0</v>
      </c>
      <c r="BW303" s="532" t="str">
        <f t="shared" si="424"/>
        <v/>
      </c>
      <c r="BX303" s="532" t="str">
        <f t="shared" si="425"/>
        <v/>
      </c>
      <c r="BY303" s="532" t="str">
        <f t="shared" si="426"/>
        <v/>
      </c>
      <c r="BZ303" s="532" t="str">
        <f t="shared" si="427"/>
        <v/>
      </c>
      <c r="CA303" s="532">
        <f t="shared" si="428"/>
        <v>0</v>
      </c>
      <c r="CB303" s="533"/>
      <c r="CC303" s="624">
        <f t="shared" si="429"/>
        <v>0</v>
      </c>
      <c r="CD303" s="534">
        <f t="shared" si="430"/>
        <v>0</v>
      </c>
      <c r="CE303" s="534">
        <f t="shared" si="431"/>
        <v>0</v>
      </c>
      <c r="CF303" s="534">
        <f t="shared" si="432"/>
        <v>0</v>
      </c>
      <c r="CG303" s="534"/>
      <c r="CH303" s="534"/>
      <c r="CI303" s="534">
        <f t="shared" si="448"/>
        <v>0</v>
      </c>
      <c r="CL303" s="534">
        <f>IF(ISNA(VLOOKUP(I303,Veg_Parameters!$A$3:$N$65,13,FALSE)),0,(VLOOKUP(I303,Veg_Parameters!$A$3:$N$65,13,FALSE)))</f>
        <v>0</v>
      </c>
      <c r="CM303" s="534">
        <f t="shared" si="449"/>
        <v>0</v>
      </c>
      <c r="CN303" s="534">
        <f>IF(ISNA(VLOOKUP(N303,Veg_Parameters!$A$3:$N$65,13,FALSE)),0,(VLOOKUP(N303,Veg_Parameters!$A$3:$N$65,13,FALSE)))</f>
        <v>0</v>
      </c>
      <c r="CO303" s="523">
        <f t="shared" si="450"/>
        <v>0</v>
      </c>
    </row>
    <row r="304" spans="1:93" x14ac:dyDescent="0.2">
      <c r="A304" s="227"/>
      <c r="B304" s="171" t="str">
        <f t="shared" si="451"/>
        <v/>
      </c>
      <c r="C304" s="230"/>
      <c r="D304" s="169"/>
      <c r="E304" s="165"/>
      <c r="F304" s="165"/>
      <c r="G304" s="165"/>
      <c r="H304" s="165"/>
      <c r="I304" s="168"/>
      <c r="J304" s="167"/>
      <c r="K304" s="168"/>
      <c r="L304" s="167"/>
      <c r="M304" s="167"/>
      <c r="N304" s="168"/>
      <c r="O304" s="168"/>
      <c r="P304" s="167"/>
      <c r="Q304" s="167"/>
      <c r="R304" s="167"/>
      <c r="S304" s="222" t="str">
        <f>IF(ISBLANK(A304),"",IF(ISNA(VLOOKUP(I304,Veg_Parameters!$A$3:$N$65,3,FALSE)),0,(VLOOKUP(I304,Veg_Parameters!$A$3:$N$65,3,FALSE))))</f>
        <v/>
      </c>
      <c r="T304" s="222" t="str">
        <f>IF(ISBLANK(N304),"",IF(ISNA(VLOOKUP(N304,Veg_Parameters!$A$3:$N$65,3,FALSE)),0,(VLOOKUP(N304,Veg_Parameters!$A$3:$N$65,3,FALSE))))</f>
        <v/>
      </c>
      <c r="U304" s="523">
        <f t="shared" si="433"/>
        <v>0</v>
      </c>
      <c r="V304" s="523">
        <f t="shared" si="409"/>
        <v>0</v>
      </c>
      <c r="W304" s="524">
        <f>IF(ISBLANK(A304),0,IF(ISNA(VLOOKUP($I304,Veg_Parameters!$A$3:$N$65,10,FALSE)),0,(VLOOKUP($I304,Veg_Parameters!$A$3:$N$65,10,FALSE))))</f>
        <v>0</v>
      </c>
      <c r="X304" s="524">
        <f>IF(ISBLANK(A304),0,IF(ISNA(VLOOKUP($I304,Veg_Parameters!$A$3:$N$65,11,FALSE)),0,(VLOOKUP($I304,Veg_Parameters!$A$3:$N$65,11,FALSE))))</f>
        <v>0</v>
      </c>
      <c r="Y304" s="524">
        <f>IF(ISBLANK(A304),0,IF(ISNA(VLOOKUP($I304,Veg_Parameters!$A$3:$N$65,12,FALSE)),0,(VLOOKUP($I304,Veg_Parameters!$A$3:$N$65,12,FALSE))))</f>
        <v>0</v>
      </c>
      <c r="Z304" s="525">
        <f t="shared" si="410"/>
        <v>0</v>
      </c>
      <c r="AA304" s="525">
        <f t="shared" si="411"/>
        <v>0</v>
      </c>
      <c r="AB304" s="525">
        <f t="shared" si="412"/>
        <v>0</v>
      </c>
      <c r="AC304" s="524">
        <f>IF(ISBLANK(N304),0,IF(ISNA(VLOOKUP($N304,Veg_Parameters!$A$3:$N$65,10,FALSE)),0,(VLOOKUP($N304,Veg_Parameters!$A$3:$N$65,10,FALSE))))</f>
        <v>0</v>
      </c>
      <c r="AD304" s="524">
        <f>IF(ISBLANK(N304),0,IF(ISNA(VLOOKUP($N304,Veg_Parameters!$A$3:$N$65,11,FALSE)),0,(VLOOKUP($N304,Veg_Parameters!$A$3:$N$65,11,FALSE))))</f>
        <v>0</v>
      </c>
      <c r="AE304" s="524">
        <f>IF(ISBLANK(N304), 0, IF(ISNA(VLOOKUP($N304,Veg_Parameters!$A$3:$N$65,12,FALSE)),0,(VLOOKUP($N304,Veg_Parameters!$A$3:$N$65,12,FALSE))))</f>
        <v>0</v>
      </c>
      <c r="AF304" s="523">
        <f t="shared" si="413"/>
        <v>0</v>
      </c>
      <c r="AG304" s="523">
        <f t="shared" si="414"/>
        <v>0</v>
      </c>
      <c r="AH304" s="523">
        <f t="shared" si="415"/>
        <v>0</v>
      </c>
      <c r="AI304" s="526"/>
      <c r="AJ304" s="527">
        <f>AB304*(IF(ISNA(VLOOKUP($I304,Veg_Parameters!$A$3:$N$65,5,FALSE)),0,(VLOOKUP($I304,Veg_Parameters!$A$3:$N$65,5,FALSE))))</f>
        <v>0</v>
      </c>
      <c r="AK304" s="527">
        <f>IF(ISNA(VLOOKUP($I304,Veg_Parameters!$A$3:$N$65,4,FALSE)),0,(VLOOKUP($I304,Veg_Parameters!$A$3:$N$65,4,FALSE)))</f>
        <v>0</v>
      </c>
      <c r="AL304" s="527">
        <f>AB304*(IF(ISNA(VLOOKUP($I304,Veg_Parameters!$A$3:$N$65,7,FALSE)),0, (VLOOKUP($I304,Veg_Parameters!$A$3:$N$65,7,FALSE))))</f>
        <v>0</v>
      </c>
      <c r="AM304" s="528">
        <f>IF(ISNA(VLOOKUP($I304,Veg_Parameters!$A$3:$N$65,6,FALSE)), 0, (VLOOKUP($I304,Veg_Parameters!$A$3:$N$65,6,FALSE)))</f>
        <v>0</v>
      </c>
      <c r="AN304" s="529">
        <f t="shared" si="416"/>
        <v>20</v>
      </c>
      <c r="AO304" s="529">
        <f t="shared" si="417"/>
        <v>0</v>
      </c>
      <c r="AP304" s="529">
        <f t="shared" si="418"/>
        <v>0</v>
      </c>
      <c r="AQ304" s="530">
        <f t="shared" si="434"/>
        <v>0</v>
      </c>
      <c r="AR304" s="527" t="s">
        <v>3</v>
      </c>
      <c r="AS304" s="527">
        <f>IF(ISNA(VLOOKUP($I304,Veg_Parameters!$A$3:$N$65,8,FALSE)), 0, (VLOOKUP($I304,Veg_Parameters!$A$3:$N$65,8,FALSE)))</f>
        <v>0</v>
      </c>
      <c r="AT304" s="527">
        <f>AB304*(IF(ISNA(VLOOKUP($I304,Veg_Parameters!$A$3:$N$65,9,FALSE)), 0, (VLOOKUP($I304,Veg_Parameters!$A$3:$N$65,9,FALSE))))</f>
        <v>0</v>
      </c>
      <c r="AU304" s="527">
        <f>IF(ISBLANK(A304),0,VLOOKUP($I304,Veg_Parameters!$A$4:$U$65,21,))</f>
        <v>0</v>
      </c>
      <c r="AV304" s="527">
        <f t="shared" si="435"/>
        <v>0</v>
      </c>
      <c r="AW304" s="529">
        <f t="shared" si="436"/>
        <v>0</v>
      </c>
      <c r="AX304" s="529">
        <f t="shared" si="437"/>
        <v>0</v>
      </c>
      <c r="AY304" s="529">
        <f t="shared" si="419"/>
        <v>0</v>
      </c>
      <c r="AZ304" s="529">
        <f t="shared" si="438"/>
        <v>0</v>
      </c>
      <c r="BA304" s="529">
        <f t="shared" si="439"/>
        <v>0</v>
      </c>
      <c r="BB304" s="529">
        <f t="shared" si="440"/>
        <v>0</v>
      </c>
      <c r="BC304" s="529">
        <f t="shared" si="420"/>
        <v>0</v>
      </c>
      <c r="BD304" s="531"/>
      <c r="BE304" s="527">
        <f>AH304*(IF(ISNA(VLOOKUP($N304,Veg_Parameters!$A$3:$N$65,5,FALSE)),0,(VLOOKUP($N304,Veg_Parameters!$A$3:$N$65,5,FALSE))))</f>
        <v>0</v>
      </c>
      <c r="BF304" s="527">
        <f>IF(ISNA(VLOOKUP($N304,Veg_Parameters!$A$3:$N$65,4,FALSE)),0,(VLOOKUP($N304,Veg_Parameters!$A$3:$N$65,4,FALSE)))</f>
        <v>0</v>
      </c>
      <c r="BG304" s="527">
        <f>AH304*(IF(ISNA(VLOOKUP($N304,Veg_Parameters!$A$3:$N$65,7,FALSE)),0, (VLOOKUP($N304,Veg_Parameters!$A$3:$N$65,7,FALSE))))</f>
        <v>0</v>
      </c>
      <c r="BH304" s="527">
        <f>IF(ISNA(VLOOKUP($N304,Veg_Parameters!$A$3:$N$65,6,FALSE)), 0, (VLOOKUP($N304,Veg_Parameters!$A$3:$N$65,6,FALSE)))</f>
        <v>0</v>
      </c>
      <c r="BI304" s="529">
        <f t="shared" si="421"/>
        <v>20</v>
      </c>
      <c r="BJ304" s="529">
        <f t="shared" si="441"/>
        <v>0</v>
      </c>
      <c r="BK304" s="529">
        <f t="shared" si="422"/>
        <v>0</v>
      </c>
      <c r="BL304" s="530">
        <f t="shared" si="442"/>
        <v>0</v>
      </c>
      <c r="BM304" s="527" t="s">
        <v>3</v>
      </c>
      <c r="BN304" s="527">
        <f>IF(ISNA(VLOOKUP(N304,Veg_Parameters!$A$3:$N$65,8,FALSE)), 0, (VLOOKUP($N304,Veg_Parameters!$A$3:$N$65,8,FALSE)))</f>
        <v>0</v>
      </c>
      <c r="BO304" s="527">
        <f>AH304*(IF(ISNA(VLOOKUP($N304,Veg_Parameters!$A$3:$N$65,9,FALSE)), 0, (VLOOKUP($N304,Veg_Parameters!$A$3:$N$65,9,FALSE))))</f>
        <v>0</v>
      </c>
      <c r="BP304" s="527" t="str">
        <f>IF(ISBLANK(N304),"0",VLOOKUP($N304,Veg_Parameters!$A$4:$U$65,21,))</f>
        <v>0</v>
      </c>
      <c r="BQ304" s="529">
        <f t="shared" si="443"/>
        <v>0</v>
      </c>
      <c r="BR304" s="529">
        <f t="shared" si="444"/>
        <v>0</v>
      </c>
      <c r="BS304" s="529">
        <f t="shared" si="423"/>
        <v>0</v>
      </c>
      <c r="BT304" s="529">
        <f t="shared" si="445"/>
        <v>0</v>
      </c>
      <c r="BU304" s="529">
        <f t="shared" si="446"/>
        <v>0</v>
      </c>
      <c r="BV304" s="529">
        <f t="shared" si="447"/>
        <v>0</v>
      </c>
      <c r="BW304" s="532" t="str">
        <f t="shared" si="424"/>
        <v/>
      </c>
      <c r="BX304" s="532" t="str">
        <f t="shared" si="425"/>
        <v/>
      </c>
      <c r="BY304" s="532" t="str">
        <f t="shared" si="426"/>
        <v/>
      </c>
      <c r="BZ304" s="532" t="str">
        <f t="shared" si="427"/>
        <v/>
      </c>
      <c r="CA304" s="532">
        <f t="shared" si="428"/>
        <v>0</v>
      </c>
      <c r="CB304" s="533"/>
      <c r="CC304" s="624">
        <f t="shared" si="429"/>
        <v>0</v>
      </c>
      <c r="CD304" s="534">
        <f t="shared" si="430"/>
        <v>0</v>
      </c>
      <c r="CE304" s="534">
        <f t="shared" si="431"/>
        <v>0</v>
      </c>
      <c r="CF304" s="534">
        <f t="shared" si="432"/>
        <v>0</v>
      </c>
      <c r="CG304" s="534"/>
      <c r="CH304" s="534"/>
      <c r="CI304" s="534">
        <f t="shared" si="448"/>
        <v>0</v>
      </c>
      <c r="CL304" s="534">
        <f>IF(ISNA(VLOOKUP(I304,Veg_Parameters!$A$3:$N$65,13,FALSE)),0,(VLOOKUP(I304,Veg_Parameters!$A$3:$N$65,13,FALSE)))</f>
        <v>0</v>
      </c>
      <c r="CM304" s="534">
        <f t="shared" si="449"/>
        <v>0</v>
      </c>
      <c r="CN304" s="534">
        <f>IF(ISNA(VLOOKUP(N304,Veg_Parameters!$A$3:$N$65,13,FALSE)),0,(VLOOKUP(N304,Veg_Parameters!$A$3:$N$65,13,FALSE)))</f>
        <v>0</v>
      </c>
      <c r="CO304" s="523">
        <f t="shared" si="450"/>
        <v>0</v>
      </c>
    </row>
    <row r="305" spans="1:93" x14ac:dyDescent="0.2">
      <c r="A305" s="227"/>
      <c r="B305" s="171" t="str">
        <f t="shared" si="451"/>
        <v/>
      </c>
      <c r="C305" s="230"/>
      <c r="D305" s="169"/>
      <c r="E305" s="165"/>
      <c r="F305" s="165"/>
      <c r="G305" s="165"/>
      <c r="H305" s="165"/>
      <c r="I305" s="168"/>
      <c r="J305" s="167"/>
      <c r="K305" s="168"/>
      <c r="L305" s="167"/>
      <c r="M305" s="167"/>
      <c r="N305" s="168"/>
      <c r="O305" s="168"/>
      <c r="P305" s="167"/>
      <c r="Q305" s="167"/>
      <c r="R305" s="167"/>
      <c r="S305" s="222" t="str">
        <f>IF(ISBLANK(A305),"",IF(ISNA(VLOOKUP(I305,Veg_Parameters!$A$3:$N$65,3,FALSE)),0,(VLOOKUP(I305,Veg_Parameters!$A$3:$N$65,3,FALSE))))</f>
        <v/>
      </c>
      <c r="T305" s="222" t="str">
        <f>IF(ISBLANK(N305),"",IF(ISNA(VLOOKUP(N305,Veg_Parameters!$A$3:$N$65,3,FALSE)),0,(VLOOKUP(N305,Veg_Parameters!$A$3:$N$65,3,FALSE))))</f>
        <v/>
      </c>
      <c r="U305" s="523">
        <f t="shared" si="433"/>
        <v>0</v>
      </c>
      <c r="V305" s="523">
        <f t="shared" si="409"/>
        <v>0</v>
      </c>
      <c r="W305" s="524">
        <f>IF(ISBLANK(A305),0,IF(ISNA(VLOOKUP($I305,Veg_Parameters!$A$3:$N$65,10,FALSE)),0,(VLOOKUP($I305,Veg_Parameters!$A$3:$N$65,10,FALSE))))</f>
        <v>0</v>
      </c>
      <c r="X305" s="524">
        <f>IF(ISBLANK(A305),0,IF(ISNA(VLOOKUP($I305,Veg_Parameters!$A$3:$N$65,11,FALSE)),0,(VLOOKUP($I305,Veg_Parameters!$A$3:$N$65,11,FALSE))))</f>
        <v>0</v>
      </c>
      <c r="Y305" s="524">
        <f>IF(ISBLANK(A305),0,IF(ISNA(VLOOKUP($I305,Veg_Parameters!$A$3:$N$65,12,FALSE)),0,(VLOOKUP($I305,Veg_Parameters!$A$3:$N$65,12,FALSE))))</f>
        <v>0</v>
      </c>
      <c r="Z305" s="525">
        <f t="shared" si="410"/>
        <v>0</v>
      </c>
      <c r="AA305" s="525">
        <f t="shared" si="411"/>
        <v>0</v>
      </c>
      <c r="AB305" s="525">
        <f t="shared" si="412"/>
        <v>0</v>
      </c>
      <c r="AC305" s="524">
        <f>IF(ISBLANK(N305),0,IF(ISNA(VLOOKUP($N305,Veg_Parameters!$A$3:$N$65,10,FALSE)),0,(VLOOKUP($N305,Veg_Parameters!$A$3:$N$65,10,FALSE))))</f>
        <v>0</v>
      </c>
      <c r="AD305" s="524">
        <f>IF(ISBLANK(N305),0,IF(ISNA(VLOOKUP($N305,Veg_Parameters!$A$3:$N$65,11,FALSE)),0,(VLOOKUP($N305,Veg_Parameters!$A$3:$N$65,11,FALSE))))</f>
        <v>0</v>
      </c>
      <c r="AE305" s="524">
        <f>IF(ISBLANK(N305), 0, IF(ISNA(VLOOKUP($N305,Veg_Parameters!$A$3:$N$65,12,FALSE)),0,(VLOOKUP($N305,Veg_Parameters!$A$3:$N$65,12,FALSE))))</f>
        <v>0</v>
      </c>
      <c r="AF305" s="523">
        <f t="shared" si="413"/>
        <v>0</v>
      </c>
      <c r="AG305" s="523">
        <f t="shared" si="414"/>
        <v>0</v>
      </c>
      <c r="AH305" s="523">
        <f t="shared" si="415"/>
        <v>0</v>
      </c>
      <c r="AI305" s="526"/>
      <c r="AJ305" s="527">
        <f>AB305*(IF(ISNA(VLOOKUP($I305,Veg_Parameters!$A$3:$N$65,5,FALSE)),0,(VLOOKUP($I305,Veg_Parameters!$A$3:$N$65,5,FALSE))))</f>
        <v>0</v>
      </c>
      <c r="AK305" s="527">
        <f>IF(ISNA(VLOOKUP($I305,Veg_Parameters!$A$3:$N$65,4,FALSE)),0,(VLOOKUP($I305,Veg_Parameters!$A$3:$N$65,4,FALSE)))</f>
        <v>0</v>
      </c>
      <c r="AL305" s="527">
        <f>AB305*(IF(ISNA(VLOOKUP($I305,Veg_Parameters!$A$3:$N$65,7,FALSE)),0, (VLOOKUP($I305,Veg_Parameters!$A$3:$N$65,7,FALSE))))</f>
        <v>0</v>
      </c>
      <c r="AM305" s="528">
        <f>IF(ISNA(VLOOKUP($I305,Veg_Parameters!$A$3:$N$65,6,FALSE)), 0, (VLOOKUP($I305,Veg_Parameters!$A$3:$N$65,6,FALSE)))</f>
        <v>0</v>
      </c>
      <c r="AN305" s="529">
        <f t="shared" si="416"/>
        <v>20</v>
      </c>
      <c r="AO305" s="529">
        <f t="shared" si="417"/>
        <v>0</v>
      </c>
      <c r="AP305" s="529">
        <f t="shared" si="418"/>
        <v>0</v>
      </c>
      <c r="AQ305" s="530">
        <f t="shared" si="434"/>
        <v>0</v>
      </c>
      <c r="AR305" s="527" t="s">
        <v>3</v>
      </c>
      <c r="AS305" s="527">
        <f>IF(ISNA(VLOOKUP($I305,Veg_Parameters!$A$3:$N$65,8,FALSE)), 0, (VLOOKUP($I305,Veg_Parameters!$A$3:$N$65,8,FALSE)))</f>
        <v>0</v>
      </c>
      <c r="AT305" s="527">
        <f>AB305*(IF(ISNA(VLOOKUP($I305,Veg_Parameters!$A$3:$N$65,9,FALSE)), 0, (VLOOKUP($I305,Veg_Parameters!$A$3:$N$65,9,FALSE))))</f>
        <v>0</v>
      </c>
      <c r="AU305" s="527">
        <f>IF(ISBLANK(A305),0,VLOOKUP($I305,Veg_Parameters!$A$4:$U$65,21,))</f>
        <v>0</v>
      </c>
      <c r="AV305" s="527">
        <f t="shared" si="435"/>
        <v>0</v>
      </c>
      <c r="AW305" s="529">
        <f t="shared" si="436"/>
        <v>0</v>
      </c>
      <c r="AX305" s="529">
        <f t="shared" si="437"/>
        <v>0</v>
      </c>
      <c r="AY305" s="529">
        <f t="shared" si="419"/>
        <v>0</v>
      </c>
      <c r="AZ305" s="529">
        <f t="shared" si="438"/>
        <v>0</v>
      </c>
      <c r="BA305" s="529">
        <f t="shared" si="439"/>
        <v>0</v>
      </c>
      <c r="BB305" s="529">
        <f t="shared" si="440"/>
        <v>0</v>
      </c>
      <c r="BC305" s="529">
        <f t="shared" si="420"/>
        <v>0</v>
      </c>
      <c r="BD305" s="531"/>
      <c r="BE305" s="527">
        <f>AH305*(IF(ISNA(VLOOKUP($N305,Veg_Parameters!$A$3:$N$65,5,FALSE)),0,(VLOOKUP($N305,Veg_Parameters!$A$3:$N$65,5,FALSE))))</f>
        <v>0</v>
      </c>
      <c r="BF305" s="527">
        <f>IF(ISNA(VLOOKUP($N305,Veg_Parameters!$A$3:$N$65,4,FALSE)),0,(VLOOKUP($N305,Veg_Parameters!$A$3:$N$65,4,FALSE)))</f>
        <v>0</v>
      </c>
      <c r="BG305" s="527">
        <f>AH305*(IF(ISNA(VLOOKUP($N305,Veg_Parameters!$A$3:$N$65,7,FALSE)),0, (VLOOKUP($N305,Veg_Parameters!$A$3:$N$65,7,FALSE))))</f>
        <v>0</v>
      </c>
      <c r="BH305" s="527">
        <f>IF(ISNA(VLOOKUP($N305,Veg_Parameters!$A$3:$N$65,6,FALSE)), 0, (VLOOKUP($N305,Veg_Parameters!$A$3:$N$65,6,FALSE)))</f>
        <v>0</v>
      </c>
      <c r="BI305" s="529">
        <f t="shared" si="421"/>
        <v>20</v>
      </c>
      <c r="BJ305" s="529">
        <f t="shared" si="441"/>
        <v>0</v>
      </c>
      <c r="BK305" s="529">
        <f t="shared" si="422"/>
        <v>0</v>
      </c>
      <c r="BL305" s="530">
        <f t="shared" si="442"/>
        <v>0</v>
      </c>
      <c r="BM305" s="527" t="s">
        <v>3</v>
      </c>
      <c r="BN305" s="527">
        <f>IF(ISNA(VLOOKUP(N305,Veg_Parameters!$A$3:$N$65,8,FALSE)), 0, (VLOOKUP($N305,Veg_Parameters!$A$3:$N$65,8,FALSE)))</f>
        <v>0</v>
      </c>
      <c r="BO305" s="527">
        <f>AH305*(IF(ISNA(VLOOKUP($N305,Veg_Parameters!$A$3:$N$65,9,FALSE)), 0, (VLOOKUP($N305,Veg_Parameters!$A$3:$N$65,9,FALSE))))</f>
        <v>0</v>
      </c>
      <c r="BP305" s="527" t="str">
        <f>IF(ISBLANK(N305),"0",VLOOKUP($N305,Veg_Parameters!$A$4:$U$65,21,))</f>
        <v>0</v>
      </c>
      <c r="BQ305" s="529">
        <f t="shared" si="443"/>
        <v>0</v>
      </c>
      <c r="BR305" s="529">
        <f t="shared" si="444"/>
        <v>0</v>
      </c>
      <c r="BS305" s="529">
        <f t="shared" si="423"/>
        <v>0</v>
      </c>
      <c r="BT305" s="529">
        <f t="shared" si="445"/>
        <v>0</v>
      </c>
      <c r="BU305" s="529">
        <f t="shared" si="446"/>
        <v>0</v>
      </c>
      <c r="BV305" s="529">
        <f t="shared" si="447"/>
        <v>0</v>
      </c>
      <c r="BW305" s="532" t="str">
        <f t="shared" si="424"/>
        <v/>
      </c>
      <c r="BX305" s="532" t="str">
        <f t="shared" si="425"/>
        <v/>
      </c>
      <c r="BY305" s="532" t="str">
        <f t="shared" si="426"/>
        <v/>
      </c>
      <c r="BZ305" s="532" t="str">
        <f t="shared" si="427"/>
        <v/>
      </c>
      <c r="CA305" s="532">
        <f t="shared" si="428"/>
        <v>0</v>
      </c>
      <c r="CB305" s="533"/>
      <c r="CC305" s="624">
        <f t="shared" si="429"/>
        <v>0</v>
      </c>
      <c r="CD305" s="534">
        <f t="shared" si="430"/>
        <v>0</v>
      </c>
      <c r="CE305" s="534">
        <f t="shared" si="431"/>
        <v>0</v>
      </c>
      <c r="CF305" s="534">
        <f t="shared" si="432"/>
        <v>0</v>
      </c>
      <c r="CG305" s="534"/>
      <c r="CH305" s="534"/>
      <c r="CI305" s="534">
        <f t="shared" si="448"/>
        <v>0</v>
      </c>
      <c r="CL305" s="534">
        <f>IF(ISNA(VLOOKUP(I305,Veg_Parameters!$A$3:$N$65,13,FALSE)),0,(VLOOKUP(I305,Veg_Parameters!$A$3:$N$65,13,FALSE)))</f>
        <v>0</v>
      </c>
      <c r="CM305" s="534">
        <f t="shared" si="449"/>
        <v>0</v>
      </c>
      <c r="CN305" s="534">
        <f>IF(ISNA(VLOOKUP(N305,Veg_Parameters!$A$3:$N$65,13,FALSE)),0,(VLOOKUP(N305,Veg_Parameters!$A$3:$N$65,13,FALSE)))</f>
        <v>0</v>
      </c>
      <c r="CO305" s="523">
        <f t="shared" si="450"/>
        <v>0</v>
      </c>
    </row>
    <row r="306" spans="1:93" x14ac:dyDescent="0.2">
      <c r="A306" s="227"/>
      <c r="B306" s="171" t="str">
        <f t="shared" si="451"/>
        <v/>
      </c>
      <c r="C306" s="230"/>
      <c r="D306" s="169"/>
      <c r="E306" s="165"/>
      <c r="F306" s="165"/>
      <c r="G306" s="165"/>
      <c r="H306" s="165"/>
      <c r="I306" s="168"/>
      <c r="J306" s="167"/>
      <c r="K306" s="168"/>
      <c r="L306" s="167"/>
      <c r="M306" s="167"/>
      <c r="N306" s="168"/>
      <c r="O306" s="168"/>
      <c r="P306" s="167"/>
      <c r="Q306" s="167"/>
      <c r="R306" s="167"/>
      <c r="S306" s="222" t="str">
        <f>IF(ISBLANK(A306),"",IF(ISNA(VLOOKUP(I306,Veg_Parameters!$A$3:$N$65,3,FALSE)),0,(VLOOKUP(I306,Veg_Parameters!$A$3:$N$65,3,FALSE))))</f>
        <v/>
      </c>
      <c r="T306" s="222" t="str">
        <f>IF(ISBLANK(N306),"",IF(ISNA(VLOOKUP(N306,Veg_Parameters!$A$3:$N$65,3,FALSE)),0,(VLOOKUP(N306,Veg_Parameters!$A$3:$N$65,3,FALSE))))</f>
        <v/>
      </c>
      <c r="U306" s="523">
        <f t="shared" si="433"/>
        <v>0</v>
      </c>
      <c r="V306" s="523">
        <f t="shared" si="409"/>
        <v>0</v>
      </c>
      <c r="W306" s="524">
        <f>IF(ISBLANK(A306),0,IF(ISNA(VLOOKUP($I306,Veg_Parameters!$A$3:$N$65,10,FALSE)),0,(VLOOKUP($I306,Veg_Parameters!$A$3:$N$65,10,FALSE))))</f>
        <v>0</v>
      </c>
      <c r="X306" s="524">
        <f>IF(ISBLANK(A306),0,IF(ISNA(VLOOKUP($I306,Veg_Parameters!$A$3:$N$65,11,FALSE)),0,(VLOOKUP($I306,Veg_Parameters!$A$3:$N$65,11,FALSE))))</f>
        <v>0</v>
      </c>
      <c r="Y306" s="524">
        <f>IF(ISBLANK(A306),0,IF(ISNA(VLOOKUP($I306,Veg_Parameters!$A$3:$N$65,12,FALSE)),0,(VLOOKUP($I306,Veg_Parameters!$A$3:$N$65,12,FALSE))))</f>
        <v>0</v>
      </c>
      <c r="Z306" s="525">
        <f t="shared" si="410"/>
        <v>0</v>
      </c>
      <c r="AA306" s="525">
        <f t="shared" si="411"/>
        <v>0</v>
      </c>
      <c r="AB306" s="525">
        <f t="shared" si="412"/>
        <v>0</v>
      </c>
      <c r="AC306" s="524">
        <f>IF(ISBLANK(N306),0,IF(ISNA(VLOOKUP($N306,Veg_Parameters!$A$3:$N$65,10,FALSE)),0,(VLOOKUP($N306,Veg_Parameters!$A$3:$N$65,10,FALSE))))</f>
        <v>0</v>
      </c>
      <c r="AD306" s="524">
        <f>IF(ISBLANK(N306),0,IF(ISNA(VLOOKUP($N306,Veg_Parameters!$A$3:$N$65,11,FALSE)),0,(VLOOKUP($N306,Veg_Parameters!$A$3:$N$65,11,FALSE))))</f>
        <v>0</v>
      </c>
      <c r="AE306" s="524">
        <f>IF(ISBLANK(N306), 0, IF(ISNA(VLOOKUP($N306,Veg_Parameters!$A$3:$N$65,12,FALSE)),0,(VLOOKUP($N306,Veg_Parameters!$A$3:$N$65,12,FALSE))))</f>
        <v>0</v>
      </c>
      <c r="AF306" s="523">
        <f t="shared" si="413"/>
        <v>0</v>
      </c>
      <c r="AG306" s="523">
        <f t="shared" si="414"/>
        <v>0</v>
      </c>
      <c r="AH306" s="523">
        <f t="shared" si="415"/>
        <v>0</v>
      </c>
      <c r="AI306" s="526"/>
      <c r="AJ306" s="527">
        <f>AB306*(IF(ISNA(VLOOKUP($I306,Veg_Parameters!$A$3:$N$65,5,FALSE)),0,(VLOOKUP($I306,Veg_Parameters!$A$3:$N$65,5,FALSE))))</f>
        <v>0</v>
      </c>
      <c r="AK306" s="527">
        <f>IF(ISNA(VLOOKUP($I306,Veg_Parameters!$A$3:$N$65,4,FALSE)),0,(VLOOKUP($I306,Veg_Parameters!$A$3:$N$65,4,FALSE)))</f>
        <v>0</v>
      </c>
      <c r="AL306" s="527">
        <f>AB306*(IF(ISNA(VLOOKUP($I306,Veg_Parameters!$A$3:$N$65,7,FALSE)),0, (VLOOKUP($I306,Veg_Parameters!$A$3:$N$65,7,FALSE))))</f>
        <v>0</v>
      </c>
      <c r="AM306" s="528">
        <f>IF(ISNA(VLOOKUP($I306,Veg_Parameters!$A$3:$N$65,6,FALSE)), 0, (VLOOKUP($I306,Veg_Parameters!$A$3:$N$65,6,FALSE)))</f>
        <v>0</v>
      </c>
      <c r="AN306" s="529">
        <f t="shared" si="416"/>
        <v>20</v>
      </c>
      <c r="AO306" s="529">
        <f t="shared" si="417"/>
        <v>0</v>
      </c>
      <c r="AP306" s="529">
        <f t="shared" si="418"/>
        <v>0</v>
      </c>
      <c r="AQ306" s="530">
        <f t="shared" si="434"/>
        <v>0</v>
      </c>
      <c r="AR306" s="527" t="s">
        <v>3</v>
      </c>
      <c r="AS306" s="527">
        <f>IF(ISNA(VLOOKUP($I306,Veg_Parameters!$A$3:$N$65,8,FALSE)), 0, (VLOOKUP($I306,Veg_Parameters!$A$3:$N$65,8,FALSE)))</f>
        <v>0</v>
      </c>
      <c r="AT306" s="527">
        <f>AB306*(IF(ISNA(VLOOKUP($I306,Veg_Parameters!$A$3:$N$65,9,FALSE)), 0, (VLOOKUP($I306,Veg_Parameters!$A$3:$N$65,9,FALSE))))</f>
        <v>0</v>
      </c>
      <c r="AU306" s="527">
        <f>IF(ISBLANK(A306),0,VLOOKUP($I306,Veg_Parameters!$A$4:$U$65,21,))</f>
        <v>0</v>
      </c>
      <c r="AV306" s="527">
        <f t="shared" si="435"/>
        <v>0</v>
      </c>
      <c r="AW306" s="529">
        <f t="shared" si="436"/>
        <v>0</v>
      </c>
      <c r="AX306" s="529">
        <f t="shared" si="437"/>
        <v>0</v>
      </c>
      <c r="AY306" s="529">
        <f t="shared" si="419"/>
        <v>0</v>
      </c>
      <c r="AZ306" s="529">
        <f t="shared" si="438"/>
        <v>0</v>
      </c>
      <c r="BA306" s="529">
        <f t="shared" si="439"/>
        <v>0</v>
      </c>
      <c r="BB306" s="529">
        <f t="shared" si="440"/>
        <v>0</v>
      </c>
      <c r="BC306" s="529">
        <f t="shared" si="420"/>
        <v>0</v>
      </c>
      <c r="BD306" s="531"/>
      <c r="BE306" s="527">
        <f>AH306*(IF(ISNA(VLOOKUP($N306,Veg_Parameters!$A$3:$N$65,5,FALSE)),0,(VLOOKUP($N306,Veg_Parameters!$A$3:$N$65,5,FALSE))))</f>
        <v>0</v>
      </c>
      <c r="BF306" s="527">
        <f>IF(ISNA(VLOOKUP($N306,Veg_Parameters!$A$3:$N$65,4,FALSE)),0,(VLOOKUP($N306,Veg_Parameters!$A$3:$N$65,4,FALSE)))</f>
        <v>0</v>
      </c>
      <c r="BG306" s="527">
        <f>AH306*(IF(ISNA(VLOOKUP($N306,Veg_Parameters!$A$3:$N$65,7,FALSE)),0, (VLOOKUP($N306,Veg_Parameters!$A$3:$N$65,7,FALSE))))</f>
        <v>0</v>
      </c>
      <c r="BH306" s="527">
        <f>IF(ISNA(VLOOKUP($N306,Veg_Parameters!$A$3:$N$65,6,FALSE)), 0, (VLOOKUP($N306,Veg_Parameters!$A$3:$N$65,6,FALSE)))</f>
        <v>0</v>
      </c>
      <c r="BI306" s="529">
        <f t="shared" si="421"/>
        <v>20</v>
      </c>
      <c r="BJ306" s="529">
        <f t="shared" si="441"/>
        <v>0</v>
      </c>
      <c r="BK306" s="529">
        <f t="shared" si="422"/>
        <v>0</v>
      </c>
      <c r="BL306" s="530">
        <f t="shared" si="442"/>
        <v>0</v>
      </c>
      <c r="BM306" s="527" t="s">
        <v>3</v>
      </c>
      <c r="BN306" s="527">
        <f>IF(ISNA(VLOOKUP(N306,Veg_Parameters!$A$3:$N$65,8,FALSE)), 0, (VLOOKUP($N306,Veg_Parameters!$A$3:$N$65,8,FALSE)))</f>
        <v>0</v>
      </c>
      <c r="BO306" s="527">
        <f>AH306*(IF(ISNA(VLOOKUP($N306,Veg_Parameters!$A$3:$N$65,9,FALSE)), 0, (VLOOKUP($N306,Veg_Parameters!$A$3:$N$65,9,FALSE))))</f>
        <v>0</v>
      </c>
      <c r="BP306" s="527" t="str">
        <f>IF(ISBLANK(N306),"0",VLOOKUP($N306,Veg_Parameters!$A$4:$U$65,21,))</f>
        <v>0</v>
      </c>
      <c r="BQ306" s="529">
        <f t="shared" si="443"/>
        <v>0</v>
      </c>
      <c r="BR306" s="529">
        <f t="shared" si="444"/>
        <v>0</v>
      </c>
      <c r="BS306" s="529">
        <f t="shared" si="423"/>
        <v>0</v>
      </c>
      <c r="BT306" s="529">
        <f t="shared" si="445"/>
        <v>0</v>
      </c>
      <c r="BU306" s="529">
        <f t="shared" si="446"/>
        <v>0</v>
      </c>
      <c r="BV306" s="529">
        <f t="shared" si="447"/>
        <v>0</v>
      </c>
      <c r="BW306" s="532" t="str">
        <f t="shared" si="424"/>
        <v/>
      </c>
      <c r="BX306" s="532" t="str">
        <f t="shared" si="425"/>
        <v/>
      </c>
      <c r="BY306" s="532" t="str">
        <f t="shared" si="426"/>
        <v/>
      </c>
      <c r="BZ306" s="532" t="str">
        <f t="shared" si="427"/>
        <v/>
      </c>
      <c r="CA306" s="532">
        <f t="shared" si="428"/>
        <v>0</v>
      </c>
      <c r="CB306" s="533"/>
      <c r="CC306" s="624">
        <f t="shared" si="429"/>
        <v>0</v>
      </c>
      <c r="CD306" s="534">
        <f t="shared" si="430"/>
        <v>0</v>
      </c>
      <c r="CE306" s="534">
        <f t="shared" si="431"/>
        <v>0</v>
      </c>
      <c r="CF306" s="534">
        <f t="shared" si="432"/>
        <v>0</v>
      </c>
      <c r="CG306" s="534"/>
      <c r="CH306" s="534"/>
      <c r="CI306" s="534">
        <f t="shared" si="448"/>
        <v>0</v>
      </c>
      <c r="CL306" s="534">
        <f>IF(ISNA(VLOOKUP(I306,Veg_Parameters!$A$3:$N$65,13,FALSE)),0,(VLOOKUP(I306,Veg_Parameters!$A$3:$N$65,13,FALSE)))</f>
        <v>0</v>
      </c>
      <c r="CM306" s="534">
        <f t="shared" si="449"/>
        <v>0</v>
      </c>
      <c r="CN306" s="534">
        <f>IF(ISNA(VLOOKUP(N306,Veg_Parameters!$A$3:$N$65,13,FALSE)),0,(VLOOKUP(N306,Veg_Parameters!$A$3:$N$65,13,FALSE)))</f>
        <v>0</v>
      </c>
      <c r="CO306" s="523">
        <f t="shared" si="450"/>
        <v>0</v>
      </c>
    </row>
    <row r="307" spans="1:93" ht="13.5" thickBot="1" x14ac:dyDescent="0.25">
      <c r="A307" s="227"/>
      <c r="B307" s="171" t="str">
        <f t="shared" si="451"/>
        <v/>
      </c>
      <c r="C307" s="230"/>
      <c r="D307" s="169"/>
      <c r="E307" s="165"/>
      <c r="F307" s="165"/>
      <c r="G307" s="165"/>
      <c r="H307" s="165"/>
      <c r="I307" s="168"/>
      <c r="J307" s="167"/>
      <c r="K307" s="168"/>
      <c r="L307" s="167"/>
      <c r="M307" s="167"/>
      <c r="N307" s="168"/>
      <c r="O307" s="168"/>
      <c r="P307" s="167"/>
      <c r="Q307" s="167"/>
      <c r="R307" s="167"/>
      <c r="S307" s="222" t="str">
        <f>IF(ISBLANK(A307),"",IF(ISNA(VLOOKUP(I307,Veg_Parameters!$A$3:$N$65,3,FALSE)),0,(VLOOKUP(I307,Veg_Parameters!$A$3:$N$65,3,FALSE))))</f>
        <v/>
      </c>
      <c r="T307" s="222" t="str">
        <f>IF(ISBLANK(N307),"",IF(ISNA(VLOOKUP(N307,Veg_Parameters!$A$3:$N$65,3,FALSE)),0,(VLOOKUP(N307,Veg_Parameters!$A$3:$N$65,3,FALSE))))</f>
        <v/>
      </c>
      <c r="U307" s="523">
        <f t="shared" si="433"/>
        <v>0</v>
      </c>
      <c r="V307" s="523">
        <f t="shared" si="409"/>
        <v>0</v>
      </c>
      <c r="W307" s="524">
        <f>IF(ISBLANK(A307),0,IF(ISNA(VLOOKUP($I307,Veg_Parameters!$A$3:$N$65,10,FALSE)),0,(VLOOKUP($I307,Veg_Parameters!$A$3:$N$65,10,FALSE))))</f>
        <v>0</v>
      </c>
      <c r="X307" s="524">
        <f>IF(ISBLANK(A307),0,IF(ISNA(VLOOKUP($I307,Veg_Parameters!$A$3:$N$65,11,FALSE)),0,(VLOOKUP($I307,Veg_Parameters!$A$3:$N$65,11,FALSE))))</f>
        <v>0</v>
      </c>
      <c r="Y307" s="524">
        <f>IF(ISBLANK(A307),0,IF(ISNA(VLOOKUP($I307,Veg_Parameters!$A$3:$N$65,12,FALSE)),0,(VLOOKUP($I307,Veg_Parameters!$A$3:$N$65,12,FALSE))))</f>
        <v>0</v>
      </c>
      <c r="Z307" s="525">
        <f t="shared" si="410"/>
        <v>0</v>
      </c>
      <c r="AA307" s="525">
        <f t="shared" si="411"/>
        <v>0</v>
      </c>
      <c r="AB307" s="525">
        <f t="shared" si="412"/>
        <v>0</v>
      </c>
      <c r="AC307" s="524">
        <f>IF(ISBLANK(N307),0,IF(ISNA(VLOOKUP($N307,Veg_Parameters!$A$3:$N$65,10,FALSE)),0,(VLOOKUP($N307,Veg_Parameters!$A$3:$N$65,10,FALSE))))</f>
        <v>0</v>
      </c>
      <c r="AD307" s="524">
        <f>IF(ISBLANK(N307),0,IF(ISNA(VLOOKUP($N307,Veg_Parameters!$A$3:$N$65,11,FALSE)),0,(VLOOKUP($N307,Veg_Parameters!$A$3:$N$65,11,FALSE))))</f>
        <v>0</v>
      </c>
      <c r="AE307" s="524">
        <f>IF(ISBLANK(N307), 0, IF(ISNA(VLOOKUP($N307,Veg_Parameters!$A$3:$N$65,12,FALSE)),0,(VLOOKUP($N307,Veg_Parameters!$A$3:$N$65,12,FALSE))))</f>
        <v>0</v>
      </c>
      <c r="AF307" s="523">
        <f t="shared" si="413"/>
        <v>0</v>
      </c>
      <c r="AG307" s="523">
        <f t="shared" si="414"/>
        <v>0</v>
      </c>
      <c r="AH307" s="523">
        <f t="shared" si="415"/>
        <v>0</v>
      </c>
      <c r="AI307" s="526"/>
      <c r="AJ307" s="527">
        <f>AB307*(IF(ISNA(VLOOKUP($I307,Veg_Parameters!$A$3:$N$65,5,FALSE)),0,(VLOOKUP($I307,Veg_Parameters!$A$3:$N$65,5,FALSE))))</f>
        <v>0</v>
      </c>
      <c r="AK307" s="527">
        <f>IF(ISNA(VLOOKUP($I307,Veg_Parameters!$A$3:$N$65,4,FALSE)),0,(VLOOKUP($I307,Veg_Parameters!$A$3:$N$65,4,FALSE)))</f>
        <v>0</v>
      </c>
      <c r="AL307" s="527">
        <f>AB307*(IF(ISNA(VLOOKUP($I307,Veg_Parameters!$A$3:$N$65,7,FALSE)),0, (VLOOKUP($I307,Veg_Parameters!$A$3:$N$65,7,FALSE))))</f>
        <v>0</v>
      </c>
      <c r="AM307" s="528">
        <f>IF(ISNA(VLOOKUP($I307,Veg_Parameters!$A$3:$N$65,6,FALSE)), 0, (VLOOKUP($I307,Veg_Parameters!$A$3:$N$65,6,FALSE)))</f>
        <v>0</v>
      </c>
      <c r="AN307" s="529">
        <f t="shared" si="416"/>
        <v>20</v>
      </c>
      <c r="AO307" s="529">
        <f t="shared" si="417"/>
        <v>0</v>
      </c>
      <c r="AP307" s="529">
        <f t="shared" si="418"/>
        <v>0</v>
      </c>
      <c r="AQ307" s="530">
        <f t="shared" si="434"/>
        <v>0</v>
      </c>
      <c r="AR307" s="527" t="s">
        <v>3</v>
      </c>
      <c r="AS307" s="527">
        <f>IF(ISNA(VLOOKUP($I307,Veg_Parameters!$A$3:$N$65,8,FALSE)), 0, (VLOOKUP($I307,Veg_Parameters!$A$3:$N$65,8,FALSE)))</f>
        <v>0</v>
      </c>
      <c r="AT307" s="527">
        <f>AB307*(IF(ISNA(VLOOKUP($I307,Veg_Parameters!$A$3:$N$65,9,FALSE)), 0, (VLOOKUP($I307,Veg_Parameters!$A$3:$N$65,9,FALSE))))</f>
        <v>0</v>
      </c>
      <c r="AU307" s="527">
        <f>IF(ISBLANK(A307),0,VLOOKUP($I307,Veg_Parameters!$A$4:$U$65,21,))</f>
        <v>0</v>
      </c>
      <c r="AV307" s="527">
        <f t="shared" si="435"/>
        <v>0</v>
      </c>
      <c r="AW307" s="529">
        <f t="shared" si="436"/>
        <v>0</v>
      </c>
      <c r="AX307" s="529">
        <f t="shared" si="437"/>
        <v>0</v>
      </c>
      <c r="AY307" s="529">
        <f t="shared" si="419"/>
        <v>0</v>
      </c>
      <c r="AZ307" s="529">
        <f t="shared" si="438"/>
        <v>0</v>
      </c>
      <c r="BA307" s="529">
        <f t="shared" si="439"/>
        <v>0</v>
      </c>
      <c r="BB307" s="529">
        <f t="shared" si="440"/>
        <v>0</v>
      </c>
      <c r="BC307" s="529">
        <f t="shared" si="420"/>
        <v>0</v>
      </c>
      <c r="BD307" s="531"/>
      <c r="BE307" s="527">
        <f>AH307*(IF(ISNA(VLOOKUP($N307,Veg_Parameters!$A$3:$N$65,5,FALSE)),0,(VLOOKUP($N307,Veg_Parameters!$A$3:$N$65,5,FALSE))))</f>
        <v>0</v>
      </c>
      <c r="BF307" s="527">
        <f>IF(ISNA(VLOOKUP($N307,Veg_Parameters!$A$3:$N$65,4,FALSE)),0,(VLOOKUP($N307,Veg_Parameters!$A$3:$N$65,4,FALSE)))</f>
        <v>0</v>
      </c>
      <c r="BG307" s="527">
        <f>AH307*(IF(ISNA(VLOOKUP($N307,Veg_Parameters!$A$3:$N$65,7,FALSE)),0, (VLOOKUP($N307,Veg_Parameters!$A$3:$N$65,7,FALSE))))</f>
        <v>0</v>
      </c>
      <c r="BH307" s="527">
        <f>IF(ISNA(VLOOKUP($N307,Veg_Parameters!$A$3:$N$65,6,FALSE)), 0, (VLOOKUP($N307,Veg_Parameters!$A$3:$N$65,6,FALSE)))</f>
        <v>0</v>
      </c>
      <c r="BI307" s="529">
        <f t="shared" si="421"/>
        <v>20</v>
      </c>
      <c r="BJ307" s="529">
        <f t="shared" si="441"/>
        <v>0</v>
      </c>
      <c r="BK307" s="529">
        <f t="shared" si="422"/>
        <v>0</v>
      </c>
      <c r="BL307" s="530">
        <f t="shared" si="442"/>
        <v>0</v>
      </c>
      <c r="BM307" s="527" t="s">
        <v>3</v>
      </c>
      <c r="BN307" s="527">
        <f>IF(ISNA(VLOOKUP(N307,Veg_Parameters!$A$3:$N$65,8,FALSE)), 0, (VLOOKUP($N307,Veg_Parameters!$A$3:$N$65,8,FALSE)))</f>
        <v>0</v>
      </c>
      <c r="BO307" s="527">
        <f>AH307*(IF(ISNA(VLOOKUP($N307,Veg_Parameters!$A$3:$N$65,9,FALSE)), 0, (VLOOKUP($N307,Veg_Parameters!$A$3:$N$65,9,FALSE))))</f>
        <v>0</v>
      </c>
      <c r="BP307" s="527" t="str">
        <f>IF(ISBLANK(N307),"0",VLOOKUP($N307,Veg_Parameters!$A$4:$U$65,21,))</f>
        <v>0</v>
      </c>
      <c r="BQ307" s="529">
        <f t="shared" si="443"/>
        <v>0</v>
      </c>
      <c r="BR307" s="529">
        <f t="shared" si="444"/>
        <v>0</v>
      </c>
      <c r="BS307" s="529">
        <f t="shared" si="423"/>
        <v>0</v>
      </c>
      <c r="BT307" s="529">
        <f t="shared" si="445"/>
        <v>0</v>
      </c>
      <c r="BU307" s="529">
        <f t="shared" si="446"/>
        <v>0</v>
      </c>
      <c r="BV307" s="529">
        <f t="shared" si="447"/>
        <v>0</v>
      </c>
      <c r="BW307" s="532" t="str">
        <f t="shared" si="424"/>
        <v/>
      </c>
      <c r="BX307" s="532" t="str">
        <f t="shared" si="425"/>
        <v/>
      </c>
      <c r="BY307" s="532" t="str">
        <f t="shared" si="426"/>
        <v/>
      </c>
      <c r="BZ307" s="532" t="str">
        <f t="shared" si="427"/>
        <v/>
      </c>
      <c r="CA307" s="532">
        <f t="shared" si="428"/>
        <v>0</v>
      </c>
      <c r="CB307" s="533"/>
      <c r="CC307" s="624">
        <f t="shared" si="429"/>
        <v>0</v>
      </c>
      <c r="CD307" s="534">
        <f t="shared" si="430"/>
        <v>0</v>
      </c>
      <c r="CE307" s="534">
        <f t="shared" si="431"/>
        <v>0</v>
      </c>
      <c r="CF307" s="534">
        <f t="shared" si="432"/>
        <v>0</v>
      </c>
      <c r="CG307" s="534"/>
      <c r="CH307" s="534"/>
      <c r="CI307" s="534">
        <f t="shared" si="448"/>
        <v>0</v>
      </c>
      <c r="CL307" s="534">
        <f>IF(ISNA(VLOOKUP(I307,Veg_Parameters!$A$3:$N$65,13,FALSE)),0,(VLOOKUP(I307,Veg_Parameters!$A$3:$N$65,13,FALSE)))</f>
        <v>0</v>
      </c>
      <c r="CM307" s="534">
        <f t="shared" si="449"/>
        <v>0</v>
      </c>
      <c r="CN307" s="534">
        <f>IF(ISNA(VLOOKUP(N307,Veg_Parameters!$A$3:$N$65,13,FALSE)),0,(VLOOKUP(N307,Veg_Parameters!$A$3:$N$65,13,FALSE)))</f>
        <v>0</v>
      </c>
      <c r="CO307" s="523">
        <f t="shared" si="450"/>
        <v>0</v>
      </c>
    </row>
    <row r="308" spans="1:93" ht="13.5" thickBot="1" x14ac:dyDescent="0.25">
      <c r="A308" s="231" t="s">
        <v>70</v>
      </c>
      <c r="B308" s="186" t="str">
        <f>IF(ISBLANK(B283),"",B283)</f>
        <v/>
      </c>
      <c r="C308" s="231"/>
      <c r="D308" s="188"/>
      <c r="E308" s="188"/>
      <c r="F308" s="188"/>
      <c r="G308" s="191" t="str">
        <f>IFERROR((SUMPRODUCT($U283:$U307,G283:G307))/(100*$U308),"")</f>
        <v/>
      </c>
      <c r="H308" s="189" t="str">
        <f>IFERROR((SUMPRODUCT($U283:$U307,H283:H307))/(100*$U308),"")</f>
        <v/>
      </c>
      <c r="I308" s="188"/>
      <c r="J308" s="188"/>
      <c r="K308" s="188"/>
      <c r="L308" s="188"/>
      <c r="M308" s="188" t="s">
        <v>27</v>
      </c>
      <c r="N308" s="188"/>
      <c r="O308" s="188"/>
      <c r="P308" s="188"/>
      <c r="Q308" s="188"/>
      <c r="R308" s="188" t="s">
        <v>27</v>
      </c>
      <c r="S308" s="223"/>
      <c r="T308" s="223"/>
      <c r="U308" s="562">
        <f>+SUM(U283:U307)</f>
        <v>0</v>
      </c>
      <c r="V308" s="535" t="str">
        <f>IFERROR(SUMPRODUCT(U283:U307, V283:V307)/U308,"")</f>
        <v/>
      </c>
      <c r="W308" s="536"/>
      <c r="X308" s="536"/>
      <c r="Y308" s="536"/>
      <c r="Z308" s="536"/>
      <c r="AA308" s="536"/>
      <c r="AB308" s="536"/>
      <c r="AC308" s="536"/>
      <c r="AD308" s="536"/>
      <c r="AE308" s="536"/>
      <c r="AF308" s="537"/>
      <c r="AG308" s="537"/>
      <c r="AH308" s="537"/>
      <c r="AI308" s="104"/>
      <c r="AJ308" s="538"/>
      <c r="AK308" s="538"/>
      <c r="AL308" s="539"/>
      <c r="AM308" s="540"/>
      <c r="AN308" s="541"/>
      <c r="AO308" s="538"/>
      <c r="AP308" s="542">
        <f>MAX(AP283:AP307)</f>
        <v>0</v>
      </c>
      <c r="AQ308" s="542" t="s">
        <v>27</v>
      </c>
      <c r="AR308" s="538"/>
      <c r="AS308" s="538"/>
      <c r="AT308" s="538"/>
      <c r="AU308" s="538"/>
      <c r="AV308" s="543">
        <f>SUM(AV283:AV307)</f>
        <v>0</v>
      </c>
      <c r="AW308" s="538"/>
      <c r="AX308" s="538"/>
      <c r="AY308" s="544"/>
      <c r="AZ308" s="544"/>
      <c r="BA308" s="544"/>
      <c r="BB308" s="544"/>
      <c r="BC308" s="544"/>
      <c r="BD308" s="538"/>
      <c r="BE308" s="538"/>
      <c r="BF308" s="538"/>
      <c r="BG308" s="539"/>
      <c r="BH308" s="540"/>
      <c r="BI308" s="541"/>
      <c r="BJ308" s="538"/>
      <c r="BK308" s="542">
        <f>MAX(BK283:BK307)</f>
        <v>0</v>
      </c>
      <c r="BL308" s="538"/>
      <c r="BM308" s="538"/>
      <c r="BN308" s="538"/>
      <c r="BO308" s="538"/>
      <c r="BP308" s="538"/>
      <c r="BQ308" s="538"/>
      <c r="BR308" s="538"/>
      <c r="BS308" s="544"/>
      <c r="BT308" s="544"/>
      <c r="BU308" s="544">
        <f t="shared" ref="BU308" si="452">IF(AND(BK308&lt;4.6,BK308&gt;0.9),BS308,IF(BK308&gt;4.6,(0.5*BS308),0))</f>
        <v>0</v>
      </c>
      <c r="BV308" s="544">
        <f t="shared" ref="BV308" si="453">IF(AND(BK308&gt;0,BK308&lt;0.9),BS308,IF(AND(BK308&gt;0.9,BK308&lt;4.6),BS308*0.5,IF(BK308&gt;4.6,(BS308*0.25),0)))</f>
        <v>0</v>
      </c>
      <c r="BW308" s="545">
        <f>SUM(IF(FREQUENCY(BW283:BW307,BW283:BW307)&gt;0,1))</f>
        <v>0</v>
      </c>
      <c r="BX308" s="545">
        <f>SUM(IF(FREQUENCY(BX283:BX307,BX283:BX307)&gt;0,1))</f>
        <v>0</v>
      </c>
      <c r="BY308" s="545">
        <f>SUM(IF(FREQUENCY(BY283:BY307,BY283:BY307)&gt;0,1))</f>
        <v>0</v>
      </c>
      <c r="BZ308" s="545">
        <f>SUM(IF(FREQUENCY(BZ283:BZ307,BZ283:BZ307)&gt;0,1))</f>
        <v>0</v>
      </c>
      <c r="CA308" s="546"/>
      <c r="CB308" s="547"/>
      <c r="CC308" s="625" t="str">
        <f>+IFERROR(((SUM(CC283:CC307))/$U308),"")</f>
        <v/>
      </c>
      <c r="CD308" s="548" t="str">
        <f>+IFERROR(((SUM(CD283:CD307))/$U308),"")</f>
        <v/>
      </c>
      <c r="CE308" s="548" t="str">
        <f>+IFERROR(((SUM(CE283:CE307))/$U308),"")</f>
        <v/>
      </c>
      <c r="CF308" s="549" t="str">
        <f>+IFERROR(((SUM(CF283:CF307))/$U308),"")</f>
        <v/>
      </c>
      <c r="CG308" s="550">
        <f>SUM(IF(FREQUENCY(BW283:BX307,BW283:BX307)&gt;0,1))</f>
        <v>0</v>
      </c>
      <c r="CH308" s="551">
        <f>SUM(IF(FREQUENCY(BY283:BZ307,BY283:BZ307)&gt;0,1))</f>
        <v>0</v>
      </c>
      <c r="CI308" s="552">
        <f>+SUM(CI283:CI307)</f>
        <v>0</v>
      </c>
    </row>
    <row r="309" spans="1:93" s="3" customFormat="1" ht="30" customHeight="1" thickBot="1" x14ac:dyDescent="0.25">
      <c r="A309" s="217"/>
      <c r="B309" s="44"/>
      <c r="C309" s="217"/>
      <c r="D309" s="457"/>
      <c r="E309" s="457"/>
      <c r="F309" s="457"/>
      <c r="G309" s="458"/>
      <c r="H309" s="459"/>
      <c r="I309" s="457"/>
      <c r="J309" s="457"/>
      <c r="K309" s="457"/>
      <c r="L309" s="457"/>
      <c r="M309" s="457"/>
      <c r="N309" s="457"/>
      <c r="O309" s="457"/>
      <c r="P309" s="457"/>
      <c r="Q309" s="457"/>
      <c r="R309" s="457"/>
      <c r="S309" s="217"/>
      <c r="T309" s="217"/>
      <c r="U309" s="321"/>
      <c r="V309" s="149"/>
      <c r="W309" s="493"/>
      <c r="X309" s="493"/>
      <c r="Y309" s="493"/>
      <c r="Z309" s="493"/>
      <c r="AA309" s="493"/>
      <c r="AB309" s="493"/>
      <c r="AC309" s="493"/>
      <c r="AD309" s="493"/>
      <c r="AE309" s="493"/>
      <c r="AF309" s="565"/>
      <c r="AG309" s="565"/>
      <c r="AH309" s="565"/>
      <c r="AI309" s="104"/>
      <c r="AJ309" s="104"/>
      <c r="AK309" s="104"/>
      <c r="AL309" s="566"/>
      <c r="AM309" s="567"/>
      <c r="AN309" s="568"/>
      <c r="AO309" s="104"/>
      <c r="AP309" s="526"/>
      <c r="AQ309" s="526"/>
      <c r="AR309" s="104"/>
      <c r="AS309" s="104"/>
      <c r="AT309" s="104"/>
      <c r="AU309" s="104"/>
      <c r="AV309" s="104"/>
      <c r="AW309" s="104"/>
      <c r="AX309" s="104"/>
      <c r="AY309" s="149"/>
      <c r="AZ309" s="149"/>
      <c r="BA309" s="149"/>
      <c r="BB309" s="149"/>
      <c r="BC309" s="149"/>
      <c r="BD309" s="104"/>
      <c r="BE309" s="104"/>
      <c r="BF309" s="104"/>
      <c r="BG309" s="566"/>
      <c r="BH309" s="567"/>
      <c r="BI309" s="568"/>
      <c r="BJ309" s="104"/>
      <c r="BK309" s="526"/>
      <c r="BL309" s="104"/>
      <c r="BM309" s="104"/>
      <c r="BN309" s="104"/>
      <c r="BO309" s="104"/>
      <c r="BP309" s="104"/>
      <c r="BQ309" s="104"/>
      <c r="BR309" s="104"/>
      <c r="BS309" s="149"/>
      <c r="BT309" s="149"/>
      <c r="BU309" s="149"/>
      <c r="BV309" s="149"/>
      <c r="BW309" s="569"/>
      <c r="BX309" s="569"/>
      <c r="BY309" s="569"/>
      <c r="BZ309" s="569"/>
      <c r="CA309" s="570"/>
      <c r="CB309" s="571"/>
      <c r="CC309" s="627"/>
      <c r="CD309" s="572"/>
      <c r="CE309" s="572"/>
      <c r="CF309" s="573"/>
      <c r="CG309" s="574"/>
      <c r="CH309" s="575"/>
      <c r="CI309" s="576"/>
      <c r="CJ309" s="482"/>
      <c r="CK309" s="482"/>
      <c r="CL309" s="482"/>
      <c r="CM309" s="482"/>
      <c r="CN309" s="482"/>
      <c r="CO309" s="577"/>
    </row>
    <row r="310" spans="1:93" ht="21.75" customHeight="1" thickBot="1" x14ac:dyDescent="0.25">
      <c r="N310" s="190"/>
      <c r="O310" s="190"/>
      <c r="P310" s="190"/>
      <c r="Q310" s="190"/>
      <c r="R310" s="190"/>
      <c r="S310" s="460"/>
      <c r="T310" s="460"/>
      <c r="U310" s="578"/>
      <c r="V310" s="578"/>
      <c r="Z310" s="579" t="s">
        <v>573</v>
      </c>
      <c r="AA310" s="580"/>
      <c r="AB310" s="579"/>
      <c r="AC310" s="579"/>
      <c r="AD310" s="579"/>
      <c r="AE310" s="581"/>
      <c r="AI310" s="582"/>
      <c r="AJ310" s="583"/>
      <c r="AO310" s="477"/>
      <c r="AP310" s="477"/>
      <c r="AQ310" s="477"/>
      <c r="AR310" s="477"/>
      <c r="AS310" s="477"/>
      <c r="AT310" s="477"/>
      <c r="AU310" s="477"/>
      <c r="AV310" s="477"/>
      <c r="AW310" s="477"/>
      <c r="AX310" s="477"/>
      <c r="AY310" s="477"/>
      <c r="AZ310" s="290"/>
      <c r="BA310" s="104"/>
      <c r="BB310" s="104"/>
      <c r="BC310" s="104"/>
      <c r="BD310" s="104"/>
      <c r="BE310" s="477"/>
      <c r="BF310" s="477"/>
      <c r="BG310" s="477"/>
      <c r="BH310" s="477"/>
      <c r="BI310" s="477"/>
      <c r="BJ310" s="477"/>
      <c r="BK310" s="477"/>
      <c r="BL310" s="477"/>
      <c r="BM310" s="477"/>
      <c r="BN310" s="477"/>
      <c r="BO310" s="477"/>
      <c r="BP310" s="477"/>
      <c r="BQ310" s="477"/>
      <c r="BR310" s="477"/>
      <c r="BS310" s="477"/>
      <c r="BT310" s="290"/>
      <c r="BU310" s="104"/>
      <c r="BV310" s="104"/>
      <c r="BW310" s="555"/>
      <c r="BX310" s="555"/>
      <c r="BY310" s="555"/>
      <c r="BZ310" s="555"/>
      <c r="CA310" s="473"/>
      <c r="CB310" s="494"/>
      <c r="CC310" s="1164"/>
      <c r="CD310" s="1165" t="s">
        <v>393</v>
      </c>
      <c r="CE310" s="1165"/>
      <c r="CF310" s="1166"/>
      <c r="CG310" s="1162" t="s">
        <v>560</v>
      </c>
      <c r="CH310" s="1163"/>
      <c r="CI310" s="556" t="s">
        <v>553</v>
      </c>
      <c r="CJ310" s="479"/>
      <c r="CK310" s="479"/>
    </row>
    <row r="311" spans="1:93" x14ac:dyDescent="0.2">
      <c r="A311" s="454" t="s">
        <v>572</v>
      </c>
      <c r="B311" s="176"/>
      <c r="C311" s="232"/>
      <c r="D311" s="235"/>
      <c r="E311" s="176"/>
      <c r="F311" s="176"/>
      <c r="G311" s="176" t="s">
        <v>60</v>
      </c>
      <c r="H311" s="176" t="s">
        <v>60</v>
      </c>
      <c r="N311" s="743" t="s">
        <v>575</v>
      </c>
      <c r="O311" s="741"/>
      <c r="P311" s="741" t="s">
        <v>60</v>
      </c>
      <c r="Q311" s="741" t="s">
        <v>60</v>
      </c>
      <c r="R311" s="741" t="s">
        <v>60</v>
      </c>
      <c r="S311" s="742" t="s">
        <v>59</v>
      </c>
      <c r="T311" s="742" t="s">
        <v>59</v>
      </c>
      <c r="U311" s="584" t="s">
        <v>59</v>
      </c>
      <c r="V311" s="584" t="s">
        <v>59</v>
      </c>
      <c r="W311" s="585" t="s">
        <v>59</v>
      </c>
      <c r="Z311" s="586"/>
      <c r="AA311" s="587" t="s">
        <v>59</v>
      </c>
      <c r="AB311" s="587" t="s">
        <v>59</v>
      </c>
      <c r="AC311" s="588" t="s">
        <v>529</v>
      </c>
      <c r="AD311" s="587" t="s">
        <v>548</v>
      </c>
      <c r="AE311" s="290"/>
      <c r="AG311" s="577"/>
      <c r="AH311" s="577"/>
      <c r="AJ311" s="583"/>
      <c r="AK311" s="583"/>
      <c r="AL311" s="583"/>
      <c r="AY311" s="582"/>
      <c r="AZ311" s="582"/>
      <c r="BA311" s="582"/>
      <c r="BB311" s="582"/>
      <c r="BF311" s="583"/>
      <c r="BG311" s="583"/>
      <c r="BH311" s="583"/>
      <c r="BI311" s="583"/>
      <c r="BJ311" s="583"/>
      <c r="BU311" s="582"/>
      <c r="BV311" s="582"/>
      <c r="BW311" s="479"/>
      <c r="BX311" s="479"/>
      <c r="BY311" s="479"/>
      <c r="BZ311" s="479"/>
      <c r="CA311" s="479"/>
      <c r="CB311" s="483"/>
    </row>
    <row r="312" spans="1:93" ht="25.5" x14ac:dyDescent="0.2">
      <c r="A312" s="232" t="s">
        <v>420</v>
      </c>
      <c r="B312" s="176"/>
      <c r="C312" s="232"/>
      <c r="D312" s="235"/>
      <c r="E312" s="176"/>
      <c r="F312" s="176"/>
      <c r="G312" s="722" t="s">
        <v>544</v>
      </c>
      <c r="H312" s="722" t="s">
        <v>418</v>
      </c>
      <c r="N312" s="723" t="s">
        <v>410</v>
      </c>
      <c r="O312" s="724" t="s">
        <v>411</v>
      </c>
      <c r="P312" s="724" t="s">
        <v>416</v>
      </c>
      <c r="Q312" s="724" t="s">
        <v>415</v>
      </c>
      <c r="R312" s="724" t="s">
        <v>417</v>
      </c>
      <c r="S312" s="725" t="s">
        <v>412</v>
      </c>
      <c r="T312" s="725" t="s">
        <v>416</v>
      </c>
      <c r="U312" s="529" t="s">
        <v>562</v>
      </c>
      <c r="V312" s="529" t="s">
        <v>417</v>
      </c>
      <c r="W312" s="589" t="s">
        <v>574</v>
      </c>
      <c r="Z312" s="586" t="str">
        <f t="shared" ref="Z312:Z322" si="454">N312</f>
        <v>MU</v>
      </c>
      <c r="AA312" s="587" t="s">
        <v>412</v>
      </c>
      <c r="AB312" s="590" t="s">
        <v>550</v>
      </c>
      <c r="AC312" s="591" t="s">
        <v>550</v>
      </c>
      <c r="AD312" s="590" t="s">
        <v>547</v>
      </c>
      <c r="AE312" s="596" t="s">
        <v>686</v>
      </c>
      <c r="AG312" s="577"/>
      <c r="AH312" s="577"/>
      <c r="AJ312" s="583"/>
      <c r="AK312" s="583"/>
      <c r="AL312" s="583"/>
      <c r="AY312" s="582"/>
      <c r="AZ312" s="582"/>
      <c r="BA312" s="582"/>
      <c r="BB312" s="582"/>
      <c r="BF312" s="583"/>
      <c r="BG312" s="583"/>
      <c r="BH312" s="583"/>
      <c r="BI312" s="583"/>
      <c r="BJ312" s="583"/>
      <c r="BU312" s="582"/>
      <c r="BV312" s="582"/>
      <c r="BW312" s="479"/>
      <c r="BX312" s="479"/>
      <c r="BY312" s="479"/>
      <c r="BZ312" s="479"/>
      <c r="CA312" s="479"/>
      <c r="CB312" s="483"/>
    </row>
    <row r="313" spans="1:93" x14ac:dyDescent="0.2">
      <c r="A313" s="232" t="s">
        <v>419</v>
      </c>
      <c r="B313" s="176"/>
      <c r="C313" s="232"/>
      <c r="D313" s="235"/>
      <c r="E313" s="176"/>
      <c r="F313" s="176"/>
      <c r="G313" s="722" t="s">
        <v>211</v>
      </c>
      <c r="H313" s="722" t="s">
        <v>414</v>
      </c>
      <c r="N313" s="726" t="str">
        <f>IF(ISBLANK(A13),"",A13)</f>
        <v/>
      </c>
      <c r="O313" s="724" t="str">
        <f>B38</f>
        <v/>
      </c>
      <c r="P313" s="727" t="str">
        <f>+IF(ISERROR(G38),"",G38)</f>
        <v/>
      </c>
      <c r="Q313" s="727" t="str">
        <f>+IF(ISERROR(CF38),"",CF38)</f>
        <v/>
      </c>
      <c r="R313" s="727" t="str">
        <f>+IF(ISERROR(CE38),"",CE38)</f>
        <v/>
      </c>
      <c r="S313" s="728">
        <f>U38</f>
        <v>0</v>
      </c>
      <c r="T313" s="728">
        <f>IF(S313&gt;0,P313*$S313,0)</f>
        <v>0</v>
      </c>
      <c r="U313" s="592">
        <f t="shared" ref="U313:U322" si="455">IF(S313&gt;0,Q313*$S313,0)</f>
        <v>0</v>
      </c>
      <c r="V313" s="592">
        <f>IF(S313&gt;0,R313*$S313,0)</f>
        <v>0</v>
      </c>
      <c r="W313" s="593">
        <f>AV38</f>
        <v>0</v>
      </c>
      <c r="Z313" s="594" t="str">
        <f t="shared" si="454"/>
        <v/>
      </c>
      <c r="AA313" s="595">
        <f>U38</f>
        <v>0</v>
      </c>
      <c r="AB313" s="595">
        <f>+IF(ISERROR(CI38),0,IF(CI38&lt;AA313, CI38, AA313))</f>
        <v>0</v>
      </c>
      <c r="AC313" s="596">
        <f>AB313*0.000247105</f>
        <v>0</v>
      </c>
      <c r="AD313" s="597">
        <f>IF(ISERROR(AB313/AA313),0,(AB313/AA313)*100)</f>
        <v>0</v>
      </c>
      <c r="AE313" s="596">
        <f>AA313*0.000247105</f>
        <v>0</v>
      </c>
      <c r="AF313" s="619"/>
      <c r="AG313" s="577"/>
      <c r="AH313" s="577"/>
      <c r="AJ313" s="583"/>
      <c r="AK313" s="583"/>
      <c r="AL313" s="583"/>
      <c r="AY313" s="582"/>
      <c r="AZ313" s="582"/>
      <c r="BA313" s="582"/>
      <c r="BB313" s="582"/>
      <c r="BF313" s="583"/>
      <c r="BG313" s="583"/>
      <c r="BH313" s="583"/>
      <c r="BI313" s="583"/>
      <c r="BJ313" s="583"/>
      <c r="BU313" s="582"/>
      <c r="BV313" s="582"/>
      <c r="BW313" s="479"/>
      <c r="BX313" s="479"/>
      <c r="BY313" s="479"/>
      <c r="BZ313" s="479"/>
      <c r="CA313" s="479"/>
      <c r="CB313" s="483"/>
    </row>
    <row r="314" spans="1:93" x14ac:dyDescent="0.2">
      <c r="A314" s="232" t="s">
        <v>407</v>
      </c>
      <c r="B314" s="176"/>
      <c r="C314" s="232"/>
      <c r="D314" s="235"/>
      <c r="E314" s="176"/>
      <c r="F314" s="176"/>
      <c r="G314" s="176">
        <f>IF(ISERROR((SUM(T323:U323)*100)/S323), 0, ((SUM(T323:U323)*100)/S323))</f>
        <v>0</v>
      </c>
      <c r="H314" s="176">
        <f>IF(ISERROR((SUM(T324:V324)*100)/S324), 0, ((SUM(T324:V324)*100)/S324))</f>
        <v>0</v>
      </c>
      <c r="I314" s="180"/>
      <c r="N314" s="726" t="str">
        <f>IF(ISBLANK(A43),"",A43)</f>
        <v/>
      </c>
      <c r="O314" s="724" t="str">
        <f>B68</f>
        <v/>
      </c>
      <c r="P314" s="727" t="str">
        <f>+IF(ISERROR(G68),"",(G68))</f>
        <v/>
      </c>
      <c r="Q314" s="727" t="str">
        <f>+IF(ISERROR(CF68),"",(CF68))</f>
        <v/>
      </c>
      <c r="R314" s="727" t="str">
        <f>+IF(ISERROR(CE68),"",(CE68))</f>
        <v/>
      </c>
      <c r="S314" s="728">
        <f>U68</f>
        <v>0</v>
      </c>
      <c r="T314" s="728">
        <f t="shared" ref="T314:T322" si="456">IF(S314&gt;0,P314*$S314,0)</f>
        <v>0</v>
      </c>
      <c r="U314" s="592">
        <f t="shared" si="455"/>
        <v>0</v>
      </c>
      <c r="V314" s="592">
        <f t="shared" ref="V314:V322" si="457">IF(S314&gt;0,R314*$S314,0)</f>
        <v>0</v>
      </c>
      <c r="W314" s="593">
        <f>AV68</f>
        <v>0</v>
      </c>
      <c r="Z314" s="594" t="str">
        <f t="shared" si="454"/>
        <v/>
      </c>
      <c r="AA314" s="595">
        <f>U68</f>
        <v>0</v>
      </c>
      <c r="AB314" s="595">
        <f>+IF(ISERROR(CI68),0,IF(CI68&lt;AA314,CI68, AA314))</f>
        <v>0</v>
      </c>
      <c r="AC314" s="596">
        <f t="shared" ref="AC314:AC324" si="458">AB314*0.000247105</f>
        <v>0</v>
      </c>
      <c r="AD314" s="597">
        <f t="shared" ref="AD314:AD324" si="459">IF(ISERROR(AB314/AA314),0,(AB314/AA314)*100)</f>
        <v>0</v>
      </c>
      <c r="AE314" s="596">
        <f t="shared" ref="AE314:AE322" si="460">AA314*0.000247105</f>
        <v>0</v>
      </c>
      <c r="AF314" s="619"/>
      <c r="AG314" s="577"/>
      <c r="AH314" s="577"/>
      <c r="AJ314" s="583"/>
      <c r="AK314" s="583"/>
      <c r="AL314" s="583"/>
      <c r="AY314" s="582"/>
      <c r="AZ314" s="582"/>
      <c r="BA314" s="582"/>
      <c r="BB314" s="582"/>
      <c r="BF314" s="583"/>
      <c r="BG314" s="583"/>
      <c r="BH314" s="583"/>
      <c r="BI314" s="583"/>
      <c r="BJ314" s="583"/>
      <c r="BU314" s="582"/>
      <c r="BV314" s="582"/>
      <c r="BW314" s="479"/>
      <c r="BX314" s="479"/>
      <c r="BY314" s="479"/>
      <c r="BZ314" s="479"/>
      <c r="CA314" s="479"/>
      <c r="CB314" s="483"/>
    </row>
    <row r="315" spans="1:93" x14ac:dyDescent="0.2">
      <c r="A315" s="232" t="s">
        <v>408</v>
      </c>
      <c r="B315" s="176"/>
      <c r="C315" s="232"/>
      <c r="D315" s="235"/>
      <c r="E315" s="176"/>
      <c r="F315" s="176"/>
      <c r="G315" s="176">
        <f>IF(ISERROR(U323*100/S323),0,(U323*100/S323))</f>
        <v>0</v>
      </c>
      <c r="H315" s="176">
        <f>IF(ISERROR(U324*100/S324),0,(U324*100/S324))</f>
        <v>0</v>
      </c>
      <c r="N315" s="726" t="str">
        <f>IF(ISBLANK(A73),"",A73)</f>
        <v/>
      </c>
      <c r="O315" s="724" t="str">
        <f>B98</f>
        <v/>
      </c>
      <c r="P315" s="727" t="str">
        <f>+IF(ISERROR(G98),"",G98)</f>
        <v/>
      </c>
      <c r="Q315" s="727" t="str">
        <f>+IF(ISERROR(CF98),"",CF98)</f>
        <v/>
      </c>
      <c r="R315" s="727" t="str">
        <f>+IF(ISERROR(CE98),"",CE98)</f>
        <v/>
      </c>
      <c r="S315" s="728">
        <f>U98</f>
        <v>0</v>
      </c>
      <c r="T315" s="728">
        <f t="shared" si="456"/>
        <v>0</v>
      </c>
      <c r="U315" s="592">
        <f t="shared" si="455"/>
        <v>0</v>
      </c>
      <c r="V315" s="592">
        <f t="shared" si="457"/>
        <v>0</v>
      </c>
      <c r="W315" s="593">
        <f>AV98</f>
        <v>0</v>
      </c>
      <c r="Z315" s="594" t="str">
        <f t="shared" si="454"/>
        <v/>
      </c>
      <c r="AA315" s="595">
        <f>U98</f>
        <v>0</v>
      </c>
      <c r="AB315" s="595">
        <f>+IF(ISERROR(CI98),0,IF(CI98&lt;AA315,CI98, AA315))</f>
        <v>0</v>
      </c>
      <c r="AC315" s="596">
        <f t="shared" si="458"/>
        <v>0</v>
      </c>
      <c r="AD315" s="597">
        <f t="shared" si="459"/>
        <v>0</v>
      </c>
      <c r="AE315" s="596">
        <f t="shared" si="460"/>
        <v>0</v>
      </c>
      <c r="AF315" s="619"/>
      <c r="AG315" s="577"/>
      <c r="AH315" s="577"/>
      <c r="AJ315" s="583"/>
      <c r="AK315" s="583"/>
      <c r="AL315" s="583"/>
      <c r="AY315" s="582"/>
      <c r="AZ315" s="582"/>
      <c r="BA315" s="582"/>
      <c r="BB315" s="582"/>
      <c r="BF315" s="583"/>
      <c r="BG315" s="583"/>
      <c r="BH315" s="583"/>
      <c r="BI315" s="583"/>
      <c r="BJ315" s="583"/>
      <c r="BU315" s="582"/>
      <c r="BV315" s="582"/>
      <c r="BW315" s="479"/>
      <c r="BX315" s="479"/>
      <c r="BY315" s="479"/>
      <c r="BZ315" s="479"/>
      <c r="CA315" s="479"/>
      <c r="CB315" s="483"/>
    </row>
    <row r="316" spans="1:93" x14ac:dyDescent="0.2">
      <c r="A316" s="232" t="s">
        <v>409</v>
      </c>
      <c r="B316" s="176"/>
      <c r="C316" s="232"/>
      <c r="D316" s="235"/>
      <c r="E316" s="176"/>
      <c r="F316" s="176"/>
      <c r="G316" s="176">
        <f>IF(ISERROR(V323*100/S323),0,(V323*100/S323))</f>
        <v>0</v>
      </c>
      <c r="H316" s="176">
        <f>IF(ISERROR(V324*100/S324),0,(V324*100/S324))</f>
        <v>0</v>
      </c>
      <c r="N316" s="726" t="str">
        <f>IF(ISBLANK(A103),"",A103)</f>
        <v/>
      </c>
      <c r="O316" s="724" t="str">
        <f>B128</f>
        <v/>
      </c>
      <c r="P316" s="727" t="str">
        <f>+IF(ISERROR(G128),"",G128)</f>
        <v/>
      </c>
      <c r="Q316" s="727" t="str">
        <f>+IF(ISERROR(CF128),"",CF128)</f>
        <v/>
      </c>
      <c r="R316" s="727" t="str">
        <f>+IF(ISERROR(CE128),"",CE128)</f>
        <v/>
      </c>
      <c r="S316" s="728">
        <f>U128</f>
        <v>0</v>
      </c>
      <c r="T316" s="728">
        <f t="shared" si="456"/>
        <v>0</v>
      </c>
      <c r="U316" s="592">
        <f t="shared" si="455"/>
        <v>0</v>
      </c>
      <c r="V316" s="592">
        <f t="shared" si="457"/>
        <v>0</v>
      </c>
      <c r="W316" s="593">
        <f>AV128</f>
        <v>0</v>
      </c>
      <c r="Z316" s="594" t="str">
        <f t="shared" si="454"/>
        <v/>
      </c>
      <c r="AA316" s="595">
        <f>U128</f>
        <v>0</v>
      </c>
      <c r="AB316" s="595">
        <f>+IF(ISERROR(CI128),0,IF(CI128&lt;AA316,CI128, AA316))</f>
        <v>0</v>
      </c>
      <c r="AC316" s="596">
        <f t="shared" si="458"/>
        <v>0</v>
      </c>
      <c r="AD316" s="597">
        <f t="shared" si="459"/>
        <v>0</v>
      </c>
      <c r="AE316" s="596">
        <f t="shared" si="460"/>
        <v>0</v>
      </c>
      <c r="AF316" s="619"/>
      <c r="AG316" s="577"/>
      <c r="AH316" s="577"/>
      <c r="AJ316" s="583"/>
      <c r="AK316" s="583"/>
      <c r="AL316" s="583"/>
      <c r="AY316" s="582"/>
      <c r="AZ316" s="582"/>
      <c r="BA316" s="582"/>
      <c r="BB316" s="582"/>
      <c r="BF316" s="583"/>
      <c r="BG316" s="583"/>
      <c r="BH316" s="583"/>
      <c r="BI316" s="583"/>
      <c r="BJ316" s="583"/>
      <c r="BU316" s="582"/>
      <c r="BV316" s="582"/>
      <c r="BW316" s="479"/>
      <c r="BX316" s="479"/>
      <c r="BY316" s="479"/>
      <c r="BZ316" s="479"/>
      <c r="CA316" s="479"/>
      <c r="CB316" s="483"/>
    </row>
    <row r="317" spans="1:93" x14ac:dyDescent="0.2">
      <c r="A317" s="233"/>
      <c r="B317" s="177"/>
      <c r="C317" s="233"/>
      <c r="D317" s="178"/>
      <c r="E317" s="841"/>
      <c r="F317" s="178"/>
      <c r="G317" s="178"/>
      <c r="H317" s="178"/>
      <c r="N317" s="726" t="str">
        <f>IF(ISBLANK(A133),"",A133)</f>
        <v/>
      </c>
      <c r="O317" s="724" t="str">
        <f>B158</f>
        <v/>
      </c>
      <c r="P317" s="727" t="str">
        <f>+IF(ISERROR(G158),"",G158)</f>
        <v/>
      </c>
      <c r="Q317" s="727" t="str">
        <f>+IF(ISERROR(CF158),"",CF158)</f>
        <v/>
      </c>
      <c r="R317" s="727" t="str">
        <f>+IF(ISERROR(CE158),"",CE158)</f>
        <v/>
      </c>
      <c r="S317" s="728">
        <f>U158</f>
        <v>0</v>
      </c>
      <c r="T317" s="728">
        <f t="shared" si="456"/>
        <v>0</v>
      </c>
      <c r="U317" s="592">
        <f t="shared" si="455"/>
        <v>0</v>
      </c>
      <c r="V317" s="592">
        <f t="shared" si="457"/>
        <v>0</v>
      </c>
      <c r="W317" s="593">
        <f>AV158</f>
        <v>0</v>
      </c>
      <c r="Z317" s="594" t="str">
        <f t="shared" si="454"/>
        <v/>
      </c>
      <c r="AA317" s="595">
        <f>U158</f>
        <v>0</v>
      </c>
      <c r="AB317" s="595">
        <f>+IF(ISERROR(CI158),0,IF(CI158&lt;AA317,CI158, AA317))</f>
        <v>0</v>
      </c>
      <c r="AC317" s="596">
        <f t="shared" si="458"/>
        <v>0</v>
      </c>
      <c r="AD317" s="597">
        <f t="shared" si="459"/>
        <v>0</v>
      </c>
      <c r="AE317" s="596">
        <f t="shared" si="460"/>
        <v>0</v>
      </c>
      <c r="AF317" s="619"/>
      <c r="AG317" s="577"/>
      <c r="AH317" s="577"/>
      <c r="AJ317" s="583"/>
      <c r="AK317" s="583"/>
      <c r="AL317" s="583"/>
      <c r="AY317" s="582"/>
      <c r="AZ317" s="582"/>
      <c r="BA317" s="582"/>
      <c r="BB317" s="582"/>
      <c r="BF317" s="583"/>
      <c r="BG317" s="583"/>
      <c r="BH317" s="583"/>
      <c r="BI317" s="583"/>
      <c r="BJ317" s="583"/>
      <c r="BU317" s="582"/>
      <c r="BV317" s="582"/>
      <c r="BW317" s="479"/>
      <c r="BX317" s="479"/>
      <c r="BY317" s="479"/>
      <c r="BZ317" s="479"/>
      <c r="CA317" s="479"/>
      <c r="CB317" s="483"/>
    </row>
    <row r="318" spans="1:93" x14ac:dyDescent="0.2">
      <c r="A318" s="232"/>
      <c r="B318" s="177"/>
      <c r="C318" s="233"/>
      <c r="D318" s="178"/>
      <c r="E318" s="841"/>
      <c r="F318" s="178"/>
      <c r="G318" s="178"/>
      <c r="H318" s="178"/>
      <c r="N318" s="726" t="str">
        <f>IF(ISBLANK(A163),"",A163)</f>
        <v/>
      </c>
      <c r="O318" s="724" t="str">
        <f>B188</f>
        <v/>
      </c>
      <c r="P318" s="727" t="str">
        <f>+IF(ISERROR(G188),"",G188)</f>
        <v/>
      </c>
      <c r="Q318" s="727" t="str">
        <f>+IF(ISERROR(CF188),"",CF188)</f>
        <v/>
      </c>
      <c r="R318" s="727" t="str">
        <f>+IF(ISERROR(CE188),"",CE188)</f>
        <v/>
      </c>
      <c r="S318" s="728">
        <f>U188</f>
        <v>0</v>
      </c>
      <c r="T318" s="728">
        <f t="shared" si="456"/>
        <v>0</v>
      </c>
      <c r="U318" s="592">
        <f t="shared" si="455"/>
        <v>0</v>
      </c>
      <c r="V318" s="592">
        <f t="shared" si="457"/>
        <v>0</v>
      </c>
      <c r="W318" s="593">
        <f>AV188</f>
        <v>0</v>
      </c>
      <c r="Z318" s="594" t="str">
        <f t="shared" si="454"/>
        <v/>
      </c>
      <c r="AA318" s="595">
        <f>U188</f>
        <v>0</v>
      </c>
      <c r="AB318" s="595">
        <f>+IF(ISERROR(CI188),0,IF(CI188&lt;AA318, CI188, AA318))</f>
        <v>0</v>
      </c>
      <c r="AC318" s="596">
        <f t="shared" si="458"/>
        <v>0</v>
      </c>
      <c r="AD318" s="597">
        <f t="shared" si="459"/>
        <v>0</v>
      </c>
      <c r="AE318" s="596">
        <f t="shared" si="460"/>
        <v>0</v>
      </c>
      <c r="AF318" s="619"/>
      <c r="AG318" s="577"/>
      <c r="AH318" s="577"/>
      <c r="AJ318" s="583"/>
      <c r="AK318" s="583"/>
      <c r="AL318" s="583"/>
      <c r="AY318" s="582"/>
      <c r="AZ318" s="582"/>
      <c r="BA318" s="582"/>
      <c r="BB318" s="582"/>
      <c r="BF318" s="583"/>
      <c r="BG318" s="583"/>
      <c r="BH318" s="583"/>
      <c r="BI318" s="583"/>
      <c r="BJ318" s="583"/>
      <c r="BU318" s="582"/>
      <c r="BV318" s="582"/>
      <c r="BW318" s="479"/>
      <c r="BX318" s="479"/>
      <c r="BY318" s="479"/>
      <c r="BZ318" s="479"/>
      <c r="CA318" s="479"/>
      <c r="CB318" s="483"/>
    </row>
    <row r="319" spans="1:93" x14ac:dyDescent="0.2">
      <c r="A319" s="233"/>
      <c r="B319" s="179"/>
      <c r="C319" s="233"/>
      <c r="D319" s="178"/>
      <c r="E319" s="841"/>
      <c r="F319" s="178"/>
      <c r="G319" s="178"/>
      <c r="H319" s="178"/>
      <c r="N319" s="726" t="str">
        <f>IF(ISBLANK(A193),"",A193)</f>
        <v/>
      </c>
      <c r="O319" s="724" t="str">
        <f>B218</f>
        <v/>
      </c>
      <c r="P319" s="727" t="str">
        <f>+IF(ISERROR(G218),"",G218)</f>
        <v/>
      </c>
      <c r="Q319" s="727" t="str">
        <f>+IF(ISERROR(CF218),"",CF218)</f>
        <v/>
      </c>
      <c r="R319" s="727" t="str">
        <f>+IF(ISERROR(CE218),"",CE218)</f>
        <v/>
      </c>
      <c r="S319" s="728">
        <f>U218</f>
        <v>0</v>
      </c>
      <c r="T319" s="728">
        <f t="shared" si="456"/>
        <v>0</v>
      </c>
      <c r="U319" s="592">
        <f t="shared" si="455"/>
        <v>0</v>
      </c>
      <c r="V319" s="592">
        <f t="shared" si="457"/>
        <v>0</v>
      </c>
      <c r="W319" s="593">
        <f>AV218</f>
        <v>0</v>
      </c>
      <c r="Z319" s="594" t="str">
        <f t="shared" si="454"/>
        <v/>
      </c>
      <c r="AA319" s="595">
        <f>U218</f>
        <v>0</v>
      </c>
      <c r="AB319" s="595">
        <f>+IF(ISERROR(CI218),0,IF(CI218&lt;AA319,CI218,AA319))</f>
        <v>0</v>
      </c>
      <c r="AC319" s="596">
        <f t="shared" si="458"/>
        <v>0</v>
      </c>
      <c r="AD319" s="597">
        <f t="shared" si="459"/>
        <v>0</v>
      </c>
      <c r="AE319" s="596">
        <f t="shared" si="460"/>
        <v>0</v>
      </c>
      <c r="AF319" s="619"/>
      <c r="AG319" s="577"/>
      <c r="AH319" s="577"/>
      <c r="AJ319" s="583"/>
      <c r="AK319" s="583"/>
      <c r="AL319" s="583"/>
      <c r="AY319" s="582"/>
      <c r="AZ319" s="582"/>
      <c r="BA319" s="582"/>
      <c r="BB319" s="582"/>
      <c r="BF319" s="583"/>
      <c r="BG319" s="583"/>
      <c r="BH319" s="583"/>
      <c r="BI319" s="583"/>
      <c r="BJ319" s="583"/>
      <c r="BU319" s="582"/>
      <c r="BV319" s="582"/>
      <c r="BW319" s="479"/>
      <c r="BX319" s="479"/>
      <c r="BY319" s="479"/>
      <c r="BZ319" s="479"/>
      <c r="CA319" s="479"/>
      <c r="CB319" s="483"/>
    </row>
    <row r="320" spans="1:93" x14ac:dyDescent="0.2">
      <c r="N320" s="726" t="str">
        <f>IF(ISBLANK(A223),"",A223)</f>
        <v/>
      </c>
      <c r="O320" s="724" t="str">
        <f>B248</f>
        <v/>
      </c>
      <c r="P320" s="727" t="str">
        <f>+IF(ISERROR(G248),"",G248)</f>
        <v/>
      </c>
      <c r="Q320" s="727" t="str">
        <f>+IF(ISERROR(CF248),"",CF248)</f>
        <v/>
      </c>
      <c r="R320" s="727" t="str">
        <f>+IF(ISERROR(CE248),"",CE248)</f>
        <v/>
      </c>
      <c r="S320" s="728">
        <f>U248</f>
        <v>0</v>
      </c>
      <c r="T320" s="728">
        <f t="shared" si="456"/>
        <v>0</v>
      </c>
      <c r="U320" s="592">
        <f t="shared" si="455"/>
        <v>0</v>
      </c>
      <c r="V320" s="592">
        <f t="shared" si="457"/>
        <v>0</v>
      </c>
      <c r="W320" s="593">
        <f>AV248</f>
        <v>0</v>
      </c>
      <c r="Z320" s="594" t="str">
        <f t="shared" si="454"/>
        <v/>
      </c>
      <c r="AA320" s="595">
        <f>U248</f>
        <v>0</v>
      </c>
      <c r="AB320" s="595">
        <f>+IF(ISERROR(CI248),0,IF(CI248&lt;AA320, CI248, AA320))</f>
        <v>0</v>
      </c>
      <c r="AC320" s="596">
        <f t="shared" si="458"/>
        <v>0</v>
      </c>
      <c r="AD320" s="597">
        <f t="shared" si="459"/>
        <v>0</v>
      </c>
      <c r="AE320" s="596">
        <f t="shared" si="460"/>
        <v>0</v>
      </c>
      <c r="AF320" s="619"/>
      <c r="AG320" s="577"/>
      <c r="AH320" s="577"/>
      <c r="AJ320" s="583"/>
      <c r="AK320" s="583"/>
      <c r="AL320" s="583"/>
      <c r="AY320" s="582"/>
      <c r="AZ320" s="582"/>
      <c r="BA320" s="582"/>
      <c r="BB320" s="582"/>
      <c r="BF320" s="583"/>
      <c r="BG320" s="583"/>
      <c r="BH320" s="583"/>
      <c r="BI320" s="583"/>
      <c r="BJ320" s="583"/>
      <c r="BU320" s="582"/>
      <c r="BV320" s="582"/>
      <c r="BW320" s="479"/>
      <c r="BX320" s="479"/>
      <c r="BY320" s="479"/>
      <c r="BZ320" s="479"/>
      <c r="CA320" s="479"/>
      <c r="CB320" s="483"/>
    </row>
    <row r="321" spans="13:80" x14ac:dyDescent="0.2">
      <c r="N321" s="726" t="str">
        <f>IF(ISBLANK(A253),"",A253)</f>
        <v/>
      </c>
      <c r="O321" s="724" t="str">
        <f>B278</f>
        <v/>
      </c>
      <c r="P321" s="727" t="str">
        <f>+IF(ISERROR(G278),"",(G278))</f>
        <v/>
      </c>
      <c r="Q321" s="727" t="str">
        <f>+IF(ISERROR(CF278),"",(CF278))</f>
        <v/>
      </c>
      <c r="R321" s="727" t="str">
        <f>+IF(ISERROR(CE278),"",(CE278))</f>
        <v/>
      </c>
      <c r="S321" s="728">
        <f>U278</f>
        <v>0</v>
      </c>
      <c r="T321" s="728">
        <f t="shared" si="456"/>
        <v>0</v>
      </c>
      <c r="U321" s="592">
        <f t="shared" si="455"/>
        <v>0</v>
      </c>
      <c r="V321" s="592">
        <f t="shared" si="457"/>
        <v>0</v>
      </c>
      <c r="W321" s="593">
        <f>AV278</f>
        <v>0</v>
      </c>
      <c r="Z321" s="594" t="str">
        <f t="shared" si="454"/>
        <v/>
      </c>
      <c r="AA321" s="595">
        <f>U278</f>
        <v>0</v>
      </c>
      <c r="AB321" s="595">
        <f>+IF(ISERROR(CI278),0,IF(CI278&lt;AA321, CI278, AA321))</f>
        <v>0</v>
      </c>
      <c r="AC321" s="596">
        <f t="shared" si="458"/>
        <v>0</v>
      </c>
      <c r="AD321" s="597">
        <f t="shared" si="459"/>
        <v>0</v>
      </c>
      <c r="AE321" s="596">
        <f t="shared" si="460"/>
        <v>0</v>
      </c>
      <c r="AF321" s="619"/>
      <c r="AG321" s="577"/>
      <c r="AH321" s="577"/>
      <c r="AJ321" s="583"/>
      <c r="AK321" s="583"/>
      <c r="AL321" s="583"/>
      <c r="AY321" s="582"/>
      <c r="AZ321" s="582"/>
      <c r="BA321" s="582"/>
      <c r="BB321" s="582"/>
      <c r="BF321" s="583"/>
      <c r="BG321" s="583"/>
      <c r="BH321" s="583"/>
      <c r="BI321" s="583"/>
      <c r="BJ321" s="583"/>
      <c r="BU321" s="582"/>
      <c r="BV321" s="582"/>
      <c r="BW321" s="479"/>
      <c r="BX321" s="479"/>
      <c r="BY321" s="479"/>
      <c r="BZ321" s="479"/>
      <c r="CA321" s="479"/>
      <c r="CB321" s="483"/>
    </row>
    <row r="322" spans="13:80" x14ac:dyDescent="0.2">
      <c r="N322" s="723" t="str">
        <f>IF(ISBLANK(A283),"",A283)</f>
        <v/>
      </c>
      <c r="O322" s="724" t="str">
        <f>B308</f>
        <v/>
      </c>
      <c r="P322" s="727" t="str">
        <f>+IF(ISERROR(G308),"",G308)</f>
        <v/>
      </c>
      <c r="Q322" s="727" t="str">
        <f>+IF(ISERROR(CF308),"",CF308)</f>
        <v/>
      </c>
      <c r="R322" s="727" t="str">
        <f>+IF(ISERROR(CE308),"",CE308)</f>
        <v/>
      </c>
      <c r="S322" s="728">
        <f>U308</f>
        <v>0</v>
      </c>
      <c r="T322" s="728">
        <f t="shared" si="456"/>
        <v>0</v>
      </c>
      <c r="U322" s="592">
        <f t="shared" si="455"/>
        <v>0</v>
      </c>
      <c r="V322" s="592">
        <f t="shared" si="457"/>
        <v>0</v>
      </c>
      <c r="W322" s="593">
        <f>AV308</f>
        <v>0</v>
      </c>
      <c r="Z322" s="594" t="str">
        <f t="shared" si="454"/>
        <v/>
      </c>
      <c r="AA322" s="595">
        <f>U308</f>
        <v>0</v>
      </c>
      <c r="AB322" s="595">
        <f>+IF(ISERROR(CI308),0, IF(CI308&lt;AA322,CI308, AA322))</f>
        <v>0</v>
      </c>
      <c r="AC322" s="596">
        <f t="shared" si="458"/>
        <v>0</v>
      </c>
      <c r="AD322" s="597">
        <f t="shared" si="459"/>
        <v>0</v>
      </c>
      <c r="AE322" s="596">
        <f t="shared" si="460"/>
        <v>0</v>
      </c>
      <c r="AF322" s="619"/>
      <c r="AG322" s="577"/>
      <c r="AH322" s="577"/>
      <c r="AJ322" s="583"/>
      <c r="AK322" s="583"/>
      <c r="AL322" s="583"/>
      <c r="AY322" s="582"/>
      <c r="AZ322" s="582"/>
      <c r="BA322" s="582"/>
      <c r="BB322" s="582"/>
      <c r="BF322" s="583"/>
      <c r="BG322" s="583"/>
      <c r="BH322" s="583"/>
      <c r="BI322" s="583"/>
      <c r="BJ322" s="583"/>
      <c r="BU322" s="582"/>
      <c r="BV322" s="582"/>
      <c r="BW322" s="479"/>
      <c r="BX322" s="479"/>
      <c r="BY322" s="479"/>
      <c r="BZ322" s="479"/>
      <c r="CA322" s="479"/>
      <c r="CB322" s="483"/>
    </row>
    <row r="323" spans="13:80" x14ac:dyDescent="0.2">
      <c r="M323" s="729" t="s">
        <v>760</v>
      </c>
      <c r="N323" s="729">
        <f>COUNTIF(S313:S322, "&gt;0")</f>
        <v>0</v>
      </c>
      <c r="O323" s="730"/>
      <c r="P323" s="731"/>
      <c r="Q323" s="732" t="s">
        <v>46</v>
      </c>
      <c r="R323" s="733" t="s">
        <v>211</v>
      </c>
      <c r="S323" s="734">
        <f>SUMIF(O313:O322, "D",S313:S322)</f>
        <v>0</v>
      </c>
      <c r="T323" s="734">
        <f>SUMIF($O313:$O322,"D",T313:T322)</f>
        <v>0</v>
      </c>
      <c r="U323" s="599">
        <f>SUMIF($O313:$O322,"D",U313:U322)</f>
        <v>0</v>
      </c>
      <c r="V323" s="599">
        <f>SUMIF($O313:$O322,"D",V313:V322)</f>
        <v>0</v>
      </c>
      <c r="W323" s="599">
        <f>SUMIF($O313:$O322,"D",W313:W322)</f>
        <v>0</v>
      </c>
      <c r="Z323" s="1145"/>
      <c r="AA323" s="1145"/>
      <c r="AB323" s="1145"/>
      <c r="AC323" s="1144"/>
      <c r="AD323" s="1146"/>
      <c r="AE323" s="1144"/>
      <c r="AG323" s="577"/>
      <c r="AH323" s="577"/>
      <c r="AJ323" s="583"/>
      <c r="AK323" s="583"/>
      <c r="AL323" s="583"/>
      <c r="AY323" s="582"/>
      <c r="AZ323" s="582"/>
      <c r="BA323" s="582"/>
      <c r="BB323" s="582"/>
      <c r="BF323" s="583"/>
      <c r="BG323" s="583"/>
      <c r="BH323" s="583"/>
      <c r="BI323" s="583"/>
      <c r="BJ323" s="583"/>
      <c r="BU323" s="582"/>
      <c r="BV323" s="582"/>
      <c r="BW323" s="479"/>
      <c r="BX323" s="479"/>
      <c r="BY323" s="479"/>
      <c r="BZ323" s="479"/>
      <c r="CA323" s="479"/>
      <c r="CB323" s="483"/>
    </row>
    <row r="324" spans="13:80" x14ac:dyDescent="0.2">
      <c r="N324" s="729"/>
      <c r="O324" s="730"/>
      <c r="P324" s="731"/>
      <c r="Q324" s="732" t="s">
        <v>413</v>
      </c>
      <c r="R324" s="733" t="s">
        <v>414</v>
      </c>
      <c r="S324" s="734">
        <f>SUMIF(O313:O322, "I",S313:S322)</f>
        <v>0</v>
      </c>
      <c r="T324" s="734">
        <f>SUMIF($O313:$O322,"I",T313:T322)</f>
        <v>0</v>
      </c>
      <c r="U324" s="600">
        <f>SUMIF($O313:$O322,"I",U313:U322)</f>
        <v>0</v>
      </c>
      <c r="V324" s="600">
        <f>SUMIF($O313:$O322,"I",V313:V322)</f>
        <v>0</v>
      </c>
      <c r="W324" s="600">
        <f>SUMIF($O313:$O322,"I",W313:W322)</f>
        <v>0</v>
      </c>
      <c r="Z324" s="601" t="s">
        <v>549</v>
      </c>
      <c r="AA324" s="602">
        <f>SUM(AA313:AA323)</f>
        <v>0</v>
      </c>
      <c r="AB324" s="602">
        <f>SUM(AB313:AB323)</f>
        <v>0</v>
      </c>
      <c r="AC324" s="596">
        <f t="shared" si="458"/>
        <v>0</v>
      </c>
      <c r="AD324" s="597">
        <f t="shared" si="459"/>
        <v>0</v>
      </c>
      <c r="AE324" s="596">
        <f>SUM(AE313:AE322)</f>
        <v>0</v>
      </c>
      <c r="AG324" s="577"/>
      <c r="AH324" s="577"/>
      <c r="AJ324" s="583"/>
      <c r="AK324" s="583"/>
      <c r="AL324" s="583"/>
      <c r="AY324" s="582"/>
      <c r="AZ324" s="582"/>
      <c r="BA324" s="582"/>
      <c r="BB324" s="582"/>
      <c r="BF324" s="583"/>
      <c r="BG324" s="583"/>
      <c r="BH324" s="583"/>
      <c r="BI324" s="583"/>
      <c r="BJ324" s="583"/>
      <c r="BU324" s="582"/>
      <c r="BV324" s="582"/>
      <c r="BW324" s="479"/>
      <c r="BX324" s="479"/>
      <c r="BY324" s="479"/>
      <c r="BZ324" s="479"/>
      <c r="CA324" s="479"/>
      <c r="CB324" s="483"/>
    </row>
    <row r="325" spans="13:80" ht="13.5" thickBot="1" x14ac:dyDescent="0.25">
      <c r="N325" s="735"/>
      <c r="O325" s="736"/>
      <c r="P325" s="737"/>
      <c r="Q325" s="738" t="s">
        <v>413</v>
      </c>
      <c r="R325" s="739" t="s">
        <v>546</v>
      </c>
      <c r="S325" s="740">
        <f>SUM(S313:S322)</f>
        <v>0</v>
      </c>
      <c r="T325" s="740"/>
      <c r="U325" s="603"/>
      <c r="V325" s="603"/>
      <c r="W325" s="604"/>
      <c r="AA325" s="596">
        <f>AA324*0.000247105</f>
        <v>0</v>
      </c>
      <c r="AF325" s="577"/>
      <c r="AG325" s="577"/>
      <c r="AH325" s="577"/>
      <c r="AJ325" s="583"/>
      <c r="AK325" s="583"/>
      <c r="AY325" s="582"/>
      <c r="AZ325" s="582"/>
      <c r="BA325" s="582"/>
      <c r="BB325" s="605"/>
      <c r="BF325" s="583"/>
      <c r="BG325" s="583"/>
      <c r="BH325" s="583"/>
      <c r="BI325" s="583"/>
      <c r="BJ325" s="583"/>
      <c r="BU325" s="582"/>
      <c r="BV325" s="582"/>
      <c r="BW325" s="479"/>
      <c r="BX325" s="479"/>
      <c r="BY325" s="479"/>
      <c r="BZ325" s="479"/>
      <c r="CA325" s="479"/>
      <c r="CB325" s="483"/>
    </row>
    <row r="326" spans="13:80" x14ac:dyDescent="0.2">
      <c r="Q326" s="732" t="s">
        <v>752</v>
      </c>
      <c r="R326" s="733" t="s">
        <v>211</v>
      </c>
      <c r="S326" s="918">
        <f>+S323*0.000247105</f>
        <v>0</v>
      </c>
      <c r="Z326" s="598"/>
      <c r="AB326" s="607" t="s">
        <v>27</v>
      </c>
      <c r="AC326" s="598"/>
      <c r="AD326" s="598"/>
      <c r="AJ326" s="583"/>
      <c r="AK326" s="583"/>
      <c r="AL326" s="583"/>
      <c r="AM326" s="583"/>
      <c r="AN326" s="583"/>
      <c r="AY326" s="582"/>
      <c r="AZ326" s="582"/>
      <c r="BA326" s="582"/>
      <c r="BB326" s="582"/>
      <c r="BF326" s="583"/>
      <c r="BG326" s="583"/>
      <c r="BH326" s="583"/>
      <c r="BI326" s="583"/>
      <c r="BJ326" s="583"/>
      <c r="BK326" s="605"/>
      <c r="BL326" s="605"/>
      <c r="BU326" s="582"/>
      <c r="BV326" s="582"/>
      <c r="BW326" s="479"/>
      <c r="BX326" s="479"/>
      <c r="BY326" s="479"/>
      <c r="BZ326" s="479"/>
      <c r="CA326" s="479"/>
      <c r="CB326" s="483"/>
    </row>
    <row r="327" spans="13:80" ht="13.5" thickBot="1" x14ac:dyDescent="0.25">
      <c r="Q327" s="732" t="s">
        <v>752</v>
      </c>
      <c r="R327" s="739" t="s">
        <v>414</v>
      </c>
      <c r="S327" s="918">
        <f>+S324*0.000247105</f>
        <v>0</v>
      </c>
      <c r="Z327" s="598"/>
      <c r="AB327" s="598"/>
      <c r="AC327" s="598"/>
      <c r="AD327" s="598"/>
    </row>
    <row r="328" spans="13:80" x14ac:dyDescent="0.2">
      <c r="Z328" s="598"/>
      <c r="AB328" s="598"/>
      <c r="AC328" s="598"/>
      <c r="AD328" s="598"/>
    </row>
  </sheetData>
  <mergeCells count="37">
    <mergeCell ref="CG310:CH310"/>
    <mergeCell ref="CC310:CF310"/>
    <mergeCell ref="CC69:CF69"/>
    <mergeCell ref="A2:B2"/>
    <mergeCell ref="BH1:BI1"/>
    <mergeCell ref="A6:E6"/>
    <mergeCell ref="F6:J6"/>
    <mergeCell ref="K6:Q6"/>
    <mergeCell ref="CC279:CF279"/>
    <mergeCell ref="CG279:CH279"/>
    <mergeCell ref="CC129:CF129"/>
    <mergeCell ref="CG129:CH129"/>
    <mergeCell ref="CC159:CF159"/>
    <mergeCell ref="A1:B1"/>
    <mergeCell ref="H1:I1"/>
    <mergeCell ref="C2:F2"/>
    <mergeCell ref="K1:M1"/>
    <mergeCell ref="CC249:CF249"/>
    <mergeCell ref="A5:Q5"/>
    <mergeCell ref="A3:Q4"/>
    <mergeCell ref="C1:D1"/>
    <mergeCell ref="E1:F1"/>
    <mergeCell ref="S2:AA3"/>
    <mergeCell ref="S4:AA4"/>
    <mergeCell ref="S5:AA5"/>
    <mergeCell ref="S6:AA6"/>
    <mergeCell ref="CG249:CH249"/>
    <mergeCell ref="CC39:CF39"/>
    <mergeCell ref="CG39:CH39"/>
    <mergeCell ref="CG99:CH99"/>
    <mergeCell ref="CC189:CF189"/>
    <mergeCell ref="CG159:CH159"/>
    <mergeCell ref="CG189:CH189"/>
    <mergeCell ref="CC219:CF219"/>
    <mergeCell ref="CG219:CH219"/>
    <mergeCell ref="CG69:CH69"/>
    <mergeCell ref="CC99:CF99"/>
  </mergeCells>
  <phoneticPr fontId="10" type="noConversion"/>
  <printOptions horizontalCentered="1"/>
  <pageMargins left="0.75" right="0.75" top="1" bottom="1" header="0.5" footer="0.5"/>
  <pageSetup paperSize="17" scale="78" orientation="landscape" r:id="rId1"/>
  <headerFooter alignWithMargins="0">
    <oddHeader>&amp;A</oddHeader>
  </headerFooter>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G36"/>
  <sheetViews>
    <sheetView topLeftCell="A12" zoomScale="80" zoomScaleNormal="80" workbookViewId="0">
      <selection activeCell="E21" sqref="E21:F25"/>
    </sheetView>
  </sheetViews>
  <sheetFormatPr defaultColWidth="9.140625" defaultRowHeight="12.75" x14ac:dyDescent="0.2"/>
  <cols>
    <col min="1" max="1" width="4.5703125" style="238" customWidth="1"/>
    <col min="2" max="2" width="86.28515625" style="12" customWidth="1"/>
    <col min="3" max="3" width="83.28515625" style="13" customWidth="1"/>
    <col min="4" max="4" width="17.85546875" style="207" customWidth="1"/>
    <col min="5" max="5" width="13.5703125" style="207" customWidth="1"/>
    <col min="6" max="6" width="11.42578125" style="207" customWidth="1"/>
    <col min="7" max="7" width="91.28515625" style="13" customWidth="1"/>
    <col min="8" max="16384" width="9.140625" style="13"/>
  </cols>
  <sheetData>
    <row r="1" spans="1:7" s="19" customFormat="1" ht="58.5" customHeight="1" x14ac:dyDescent="0.3">
      <c r="A1" s="1180" t="s">
        <v>649</v>
      </c>
      <c r="B1" s="1180"/>
      <c r="C1" s="1180"/>
      <c r="D1" s="1180"/>
      <c r="E1" s="1180"/>
      <c r="F1" s="1180"/>
      <c r="G1" s="42"/>
    </row>
    <row r="2" spans="1:7" ht="18" customHeight="1" thickBot="1" x14ac:dyDescent="0.25">
      <c r="B2" s="242" t="s">
        <v>65</v>
      </c>
      <c r="C2" s="46" t="s">
        <v>684</v>
      </c>
      <c r="D2" s="196" t="s">
        <v>75</v>
      </c>
      <c r="E2" s="197" t="s">
        <v>27</v>
      </c>
      <c r="F2" s="197"/>
      <c r="G2" s="43" t="s">
        <v>27</v>
      </c>
    </row>
    <row r="3" spans="1:7" ht="25.5" customHeight="1" thickBot="1" x14ac:dyDescent="0.25">
      <c r="A3" s="254"/>
      <c r="B3" s="35"/>
      <c r="C3" s="30" t="s">
        <v>27</v>
      </c>
      <c r="D3" s="196" t="s">
        <v>286</v>
      </c>
      <c r="E3" s="208"/>
      <c r="F3" s="208"/>
      <c r="G3" s="44"/>
    </row>
    <row r="4" spans="1:7" ht="22.5" customHeight="1" thickBot="1" x14ac:dyDescent="0.25">
      <c r="B4" s="242" t="s">
        <v>26</v>
      </c>
      <c r="C4" s="31"/>
      <c r="D4" s="197"/>
      <c r="E4" s="197"/>
      <c r="F4" s="197"/>
      <c r="G4" s="45"/>
    </row>
    <row r="5" spans="1:7" ht="20.25" customHeight="1" thickBot="1" x14ac:dyDescent="0.3">
      <c r="A5" s="299" t="s">
        <v>708</v>
      </c>
      <c r="B5" s="36"/>
      <c r="C5" s="34"/>
      <c r="D5" s="118"/>
      <c r="E5" s="209" t="s">
        <v>535</v>
      </c>
      <c r="F5" s="209"/>
      <c r="G5" s="44"/>
    </row>
    <row r="6" spans="1:7" ht="13.5" thickBot="1" x14ac:dyDescent="0.25">
      <c r="A6" s="300" t="s">
        <v>5</v>
      </c>
      <c r="B6" s="38" t="s">
        <v>24</v>
      </c>
      <c r="C6" s="38" t="s">
        <v>25</v>
      </c>
      <c r="D6" s="198" t="s">
        <v>54</v>
      </c>
      <c r="E6" s="210" t="s">
        <v>109</v>
      </c>
      <c r="F6" s="198" t="s">
        <v>108</v>
      </c>
      <c r="G6" s="29"/>
    </row>
    <row r="7" spans="1:7" ht="15" customHeight="1" x14ac:dyDescent="0.2">
      <c r="A7" s="1191">
        <v>1</v>
      </c>
      <c r="B7" s="1189" t="s">
        <v>565</v>
      </c>
      <c r="C7" s="154" t="s">
        <v>37</v>
      </c>
      <c r="D7" s="199">
        <f>+(E7+F7)/2</f>
        <v>0</v>
      </c>
      <c r="E7" s="1147"/>
      <c r="F7" s="1148"/>
      <c r="G7" s="29"/>
    </row>
    <row r="8" spans="1:7" ht="15" customHeight="1" x14ac:dyDescent="0.2">
      <c r="A8" s="1192"/>
      <c r="B8" s="1190"/>
      <c r="C8" s="155" t="s">
        <v>38</v>
      </c>
      <c r="D8" s="200">
        <f t="shared" ref="D8:D15" si="0">+(E8+F8)/2</f>
        <v>0</v>
      </c>
      <c r="E8" s="1149"/>
      <c r="F8" s="1150"/>
      <c r="G8" s="29"/>
    </row>
    <row r="9" spans="1:7" ht="15" customHeight="1" x14ac:dyDescent="0.2">
      <c r="A9" s="1192"/>
      <c r="B9" s="1190"/>
      <c r="C9" s="155" t="s">
        <v>39</v>
      </c>
      <c r="D9" s="200">
        <f t="shared" si="0"/>
        <v>0</v>
      </c>
      <c r="E9" s="1149"/>
      <c r="F9" s="1150"/>
      <c r="G9" s="29"/>
    </row>
    <row r="10" spans="1:7" ht="15" customHeight="1" x14ac:dyDescent="0.2">
      <c r="A10" s="1192"/>
      <c r="B10" s="1190"/>
      <c r="C10" s="155" t="s">
        <v>40</v>
      </c>
      <c r="D10" s="200">
        <f t="shared" si="0"/>
        <v>0</v>
      </c>
      <c r="E10" s="1149"/>
      <c r="F10" s="1150"/>
      <c r="G10" s="29"/>
    </row>
    <row r="11" spans="1:7" ht="15" customHeight="1" x14ac:dyDescent="0.2">
      <c r="A11" s="1192"/>
      <c r="B11" s="1190"/>
      <c r="C11" s="155" t="s">
        <v>41</v>
      </c>
      <c r="D11" s="200">
        <f t="shared" si="0"/>
        <v>0</v>
      </c>
      <c r="E11" s="1149"/>
      <c r="F11" s="1150"/>
      <c r="G11" s="29"/>
    </row>
    <row r="12" spans="1:7" ht="15" customHeight="1" x14ac:dyDescent="0.2">
      <c r="A12" s="1192"/>
      <c r="B12" s="1190"/>
      <c r="C12" s="155" t="s">
        <v>42</v>
      </c>
      <c r="D12" s="200">
        <f t="shared" si="0"/>
        <v>0</v>
      </c>
      <c r="E12" s="1149"/>
      <c r="F12" s="1150"/>
      <c r="G12" s="39"/>
    </row>
    <row r="13" spans="1:7" ht="15" customHeight="1" x14ac:dyDescent="0.2">
      <c r="A13" s="1192"/>
      <c r="B13" s="1190"/>
      <c r="C13" s="155" t="s">
        <v>43</v>
      </c>
      <c r="D13" s="200">
        <f t="shared" si="0"/>
        <v>0</v>
      </c>
      <c r="E13" s="1149"/>
      <c r="F13" s="1150"/>
      <c r="G13" s="29"/>
    </row>
    <row r="14" spans="1:7" ht="15" customHeight="1" x14ac:dyDescent="0.2">
      <c r="A14" s="1192"/>
      <c r="B14" s="1190"/>
      <c r="C14" s="155" t="s">
        <v>44</v>
      </c>
      <c r="D14" s="200">
        <f t="shared" si="0"/>
        <v>0</v>
      </c>
      <c r="E14" s="1149"/>
      <c r="F14" s="1150"/>
      <c r="G14" s="29"/>
    </row>
    <row r="15" spans="1:7" ht="17.25" customHeight="1" x14ac:dyDescent="0.2">
      <c r="A15" s="1192"/>
      <c r="B15" s="1190"/>
      <c r="C15" s="155" t="s">
        <v>45</v>
      </c>
      <c r="D15" s="200">
        <f t="shared" si="0"/>
        <v>0</v>
      </c>
      <c r="E15" s="1149"/>
      <c r="F15" s="1150"/>
      <c r="G15" s="29"/>
    </row>
    <row r="16" spans="1:7" ht="30" customHeight="1" thickBot="1" x14ac:dyDescent="0.25">
      <c r="A16" s="448"/>
      <c r="B16" s="156"/>
      <c r="C16" s="192" t="s">
        <v>110</v>
      </c>
      <c r="D16" s="201">
        <f>+COUNTIF(D7:D15,"&gt;25")</f>
        <v>0</v>
      </c>
      <c r="E16" s="211"/>
      <c r="F16" s="212"/>
      <c r="G16" s="29"/>
    </row>
    <row r="17" spans="1:7" ht="33.75" customHeight="1" thickBot="1" x14ac:dyDescent="0.25">
      <c r="A17" s="301">
        <v>2</v>
      </c>
      <c r="B17" s="55" t="s">
        <v>105</v>
      </c>
      <c r="C17" s="56" t="s">
        <v>783</v>
      </c>
      <c r="D17" s="202"/>
      <c r="E17" s="213"/>
      <c r="F17" s="213"/>
      <c r="G17" s="29"/>
    </row>
    <row r="18" spans="1:7" ht="45.75" customHeight="1" thickBot="1" x14ac:dyDescent="0.25">
      <c r="A18" s="449">
        <v>3</v>
      </c>
      <c r="B18" s="40" t="s">
        <v>617</v>
      </c>
      <c r="C18" s="157" t="s">
        <v>618</v>
      </c>
      <c r="D18" s="203">
        <f>+(E18+F18)/2</f>
        <v>0</v>
      </c>
      <c r="E18" s="1151"/>
      <c r="F18" s="1151"/>
      <c r="G18" s="29"/>
    </row>
    <row r="19" spans="1:7" ht="45.75" customHeight="1" thickBot="1" x14ac:dyDescent="0.25">
      <c r="A19" s="301">
        <v>4</v>
      </c>
      <c r="B19" s="158" t="s">
        <v>106</v>
      </c>
      <c r="C19" s="159" t="s">
        <v>619</v>
      </c>
      <c r="D19" s="203">
        <f>+(E19+F19)/2</f>
        <v>0</v>
      </c>
      <c r="E19" s="202"/>
      <c r="F19" s="202"/>
      <c r="G19" s="29" t="s">
        <v>27</v>
      </c>
    </row>
    <row r="20" spans="1:7" ht="27.75" customHeight="1" thickBot="1" x14ac:dyDescent="0.25">
      <c r="A20" s="1184">
        <v>5</v>
      </c>
      <c r="B20" s="1181" t="s">
        <v>58</v>
      </c>
      <c r="C20" s="160" t="s">
        <v>34</v>
      </c>
      <c r="D20" s="203" t="s">
        <v>27</v>
      </c>
      <c r="E20" s="214" t="s">
        <v>109</v>
      </c>
      <c r="F20" s="215" t="s">
        <v>108</v>
      </c>
      <c r="G20" s="29"/>
    </row>
    <row r="21" spans="1:7" ht="12.75" customHeight="1" x14ac:dyDescent="0.2">
      <c r="A21" s="1185"/>
      <c r="B21" s="1182"/>
      <c r="C21" s="1189" t="s">
        <v>129</v>
      </c>
      <c r="D21" s="1187">
        <f>+(E21+F21)/2</f>
        <v>0</v>
      </c>
      <c r="E21" s="1196"/>
      <c r="F21" s="1194"/>
      <c r="G21" s="29"/>
    </row>
    <row r="22" spans="1:7" ht="10.5" customHeight="1" x14ac:dyDescent="0.2">
      <c r="A22" s="1185"/>
      <c r="B22" s="1182"/>
      <c r="C22" s="1193"/>
      <c r="D22" s="1188"/>
      <c r="E22" s="1197"/>
      <c r="F22" s="1195"/>
      <c r="G22" s="29"/>
    </row>
    <row r="23" spans="1:7" ht="15" customHeight="1" x14ac:dyDescent="0.2">
      <c r="A23" s="1185"/>
      <c r="B23" s="1182"/>
      <c r="C23" s="161" t="s">
        <v>111</v>
      </c>
      <c r="D23" s="204">
        <f>+(E23+F23)/2</f>
        <v>0</v>
      </c>
      <c r="E23" s="1152"/>
      <c r="F23" s="1153"/>
      <c r="G23" s="29"/>
    </row>
    <row r="24" spans="1:7" ht="18.75" customHeight="1" x14ac:dyDescent="0.2">
      <c r="A24" s="1185"/>
      <c r="B24" s="1182"/>
      <c r="C24" s="161" t="s">
        <v>112</v>
      </c>
      <c r="D24" s="204">
        <f>+(E24+F24)/2</f>
        <v>0</v>
      </c>
      <c r="E24" s="1152"/>
      <c r="F24" s="1153"/>
      <c r="G24" s="29"/>
    </row>
    <row r="25" spans="1:7" ht="18.75" customHeight="1" thickBot="1" x14ac:dyDescent="0.25">
      <c r="A25" s="1185"/>
      <c r="B25" s="1182"/>
      <c r="C25" s="162" t="s">
        <v>113</v>
      </c>
      <c r="D25" s="205">
        <f>+(E25+F25)/2</f>
        <v>0</v>
      </c>
      <c r="E25" s="1154"/>
      <c r="F25" s="1155"/>
      <c r="G25" s="29"/>
    </row>
    <row r="26" spans="1:7" ht="19.5" customHeight="1" thickBot="1" x14ac:dyDescent="0.25">
      <c r="A26" s="1186"/>
      <c r="B26" s="1183"/>
      <c r="C26" s="163" t="s">
        <v>46</v>
      </c>
      <c r="D26" s="206">
        <f>+SUM(D21:D25)</f>
        <v>0</v>
      </c>
      <c r="E26" s="214"/>
      <c r="F26" s="215"/>
      <c r="G26" s="29"/>
    </row>
    <row r="28" spans="1:7" ht="15" x14ac:dyDescent="0.25">
      <c r="A28" s="302"/>
      <c r="B28" s="20"/>
      <c r="C28" s="21"/>
    </row>
    <row r="29" spans="1:7" x14ac:dyDescent="0.2">
      <c r="B29" s="22"/>
    </row>
    <row r="30" spans="1:7" x14ac:dyDescent="0.2">
      <c r="B30" s="22"/>
    </row>
    <row r="31" spans="1:7" x14ac:dyDescent="0.2">
      <c r="B31" s="22"/>
    </row>
    <row r="32" spans="1:7" x14ac:dyDescent="0.2">
      <c r="B32" s="22"/>
    </row>
    <row r="33" spans="2:3" x14ac:dyDescent="0.2">
      <c r="B33" s="22"/>
    </row>
    <row r="34" spans="2:3" x14ac:dyDescent="0.2">
      <c r="B34" s="22"/>
      <c r="C34" s="19" t="s">
        <v>27</v>
      </c>
    </row>
    <row r="35" spans="2:3" x14ac:dyDescent="0.2">
      <c r="B35" s="22"/>
      <c r="C35" s="19" t="s">
        <v>27</v>
      </c>
    </row>
    <row r="36" spans="2:3" x14ac:dyDescent="0.2">
      <c r="B36" s="22"/>
    </row>
  </sheetData>
  <mergeCells count="9">
    <mergeCell ref="A1:F1"/>
    <mergeCell ref="B20:B26"/>
    <mergeCell ref="A20:A26"/>
    <mergeCell ref="D21:D22"/>
    <mergeCell ref="B7:B15"/>
    <mergeCell ref="A7:A15"/>
    <mergeCell ref="C21:C22"/>
    <mergeCell ref="F21:F22"/>
    <mergeCell ref="E21:E22"/>
  </mergeCells>
  <phoneticPr fontId="10" type="noConversion"/>
  <printOptions horizontalCentered="1"/>
  <pageMargins left="0.75" right="0.75" top="1" bottom="1" header="0.5" footer="0.5"/>
  <pageSetup scale="51" fitToHeight="2" orientation="landscape" r:id="rId1"/>
  <headerFooter alignWithMargins="0">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N81"/>
  <sheetViews>
    <sheetView zoomScale="80" zoomScaleNormal="80" zoomScaleSheetLayoutView="85" workbookViewId="0">
      <selection activeCell="E7" sqref="E7:N14"/>
    </sheetView>
  </sheetViews>
  <sheetFormatPr defaultColWidth="9.140625" defaultRowHeight="12.75" x14ac:dyDescent="0.2"/>
  <cols>
    <col min="1" max="1" width="13.28515625" style="14" customWidth="1"/>
    <col min="2" max="2" width="13.85546875" style="246" customWidth="1"/>
    <col min="3" max="3" width="80.7109375" style="15" customWidth="1"/>
    <col min="4" max="4" width="13.5703125" style="241" customWidth="1"/>
    <col min="5" max="5" width="7.42578125" style="14" customWidth="1"/>
    <col min="6" max="16384" width="9.140625" style="9"/>
  </cols>
  <sheetData>
    <row r="1" spans="1:14" s="13" customFormat="1" ht="16.5" customHeight="1" thickBot="1" x14ac:dyDescent="0.25">
      <c r="A1" s="27" t="s">
        <v>65</v>
      </c>
      <c r="B1" s="242" t="s">
        <v>757</v>
      </c>
      <c r="C1" s="46" t="s">
        <v>27</v>
      </c>
      <c r="D1" s="238"/>
      <c r="F1" s="23" t="s">
        <v>27</v>
      </c>
    </row>
    <row r="2" spans="1:14" s="13" customFormat="1" ht="16.5" customHeight="1" x14ac:dyDescent="0.2">
      <c r="A2" s="47" t="s">
        <v>118</v>
      </c>
      <c r="B2" s="243" t="s">
        <v>758</v>
      </c>
      <c r="C2" s="122"/>
      <c r="D2" s="238"/>
      <c r="F2" s="19"/>
    </row>
    <row r="3" spans="1:14" ht="20.25" customHeight="1" x14ac:dyDescent="0.25">
      <c r="A3" s="1198" t="s">
        <v>694</v>
      </c>
      <c r="B3" s="1199"/>
      <c r="C3" s="1199"/>
      <c r="D3" s="1199"/>
      <c r="E3" s="1199"/>
      <c r="F3" s="1199"/>
      <c r="G3" s="1199"/>
      <c r="H3" s="1199"/>
      <c r="I3" s="1199"/>
      <c r="J3" s="1134"/>
      <c r="K3" s="1134"/>
      <c r="L3" s="1134"/>
      <c r="M3" s="1134"/>
      <c r="N3" s="1134"/>
    </row>
    <row r="4" spans="1:14" ht="21.75" customHeight="1" x14ac:dyDescent="0.2">
      <c r="A4" s="32" t="s">
        <v>79</v>
      </c>
      <c r="B4" s="239" t="s">
        <v>5</v>
      </c>
      <c r="C4" s="33" t="s">
        <v>24</v>
      </c>
      <c r="D4" s="239" t="s">
        <v>692</v>
      </c>
      <c r="E4" s="861" t="s">
        <v>693</v>
      </c>
      <c r="F4" s="862" t="s">
        <v>398</v>
      </c>
      <c r="G4" s="862" t="s">
        <v>399</v>
      </c>
      <c r="H4" s="862" t="s">
        <v>400</v>
      </c>
      <c r="I4" s="862" t="s">
        <v>406</v>
      </c>
      <c r="J4" s="862" t="s">
        <v>401</v>
      </c>
      <c r="K4" s="862" t="s">
        <v>716</v>
      </c>
      <c r="L4" s="862" t="s">
        <v>403</v>
      </c>
      <c r="M4" s="862" t="s">
        <v>404</v>
      </c>
      <c r="N4" s="862" t="s">
        <v>405</v>
      </c>
    </row>
    <row r="5" spans="1:14" ht="26.25" customHeight="1" x14ac:dyDescent="0.2">
      <c r="A5" s="1201" t="s">
        <v>76</v>
      </c>
      <c r="B5" s="244" t="s">
        <v>207</v>
      </c>
      <c r="C5" s="152" t="s">
        <v>209</v>
      </c>
      <c r="D5" s="905">
        <f>VEG_DATA!N323</f>
        <v>0</v>
      </c>
      <c r="E5" s="906" t="s">
        <v>183</v>
      </c>
      <c r="F5" s="906" t="s">
        <v>183</v>
      </c>
      <c r="G5" s="906" t="s">
        <v>183</v>
      </c>
      <c r="H5" s="906" t="s">
        <v>183</v>
      </c>
      <c r="I5" s="906" t="s">
        <v>183</v>
      </c>
      <c r="J5" s="906" t="s">
        <v>183</v>
      </c>
      <c r="K5" s="906" t="s">
        <v>183</v>
      </c>
      <c r="L5" s="906" t="s">
        <v>183</v>
      </c>
      <c r="M5" s="906" t="s">
        <v>183</v>
      </c>
      <c r="N5" s="906" t="s">
        <v>183</v>
      </c>
    </row>
    <row r="6" spans="1:14" ht="30" customHeight="1" x14ac:dyDescent="0.2">
      <c r="A6" s="1201"/>
      <c r="B6" s="244" t="s">
        <v>208</v>
      </c>
      <c r="C6" s="904" t="s">
        <v>718</v>
      </c>
      <c r="D6" s="906">
        <f>IF(VEG_DATA!O7=0, "N/A", VEG_DATA!O8)</f>
        <v>20</v>
      </c>
      <c r="E6" s="906" t="s">
        <v>183</v>
      </c>
      <c r="F6" s="906" t="s">
        <v>183</v>
      </c>
      <c r="G6" s="906" t="s">
        <v>183</v>
      </c>
      <c r="H6" s="906" t="s">
        <v>183</v>
      </c>
      <c r="I6" s="906" t="s">
        <v>183</v>
      </c>
      <c r="J6" s="906" t="s">
        <v>183</v>
      </c>
      <c r="K6" s="906" t="s">
        <v>183</v>
      </c>
      <c r="L6" s="906" t="s">
        <v>183</v>
      </c>
      <c r="M6" s="906" t="s">
        <v>183</v>
      </c>
      <c r="N6" s="906" t="s">
        <v>183</v>
      </c>
    </row>
    <row r="7" spans="1:14" ht="42.75" customHeight="1" x14ac:dyDescent="0.2">
      <c r="A7" s="1200" t="s">
        <v>6</v>
      </c>
      <c r="B7" s="193">
        <v>1</v>
      </c>
      <c r="C7" s="152" t="s">
        <v>531</v>
      </c>
      <c r="D7" s="906" t="s">
        <v>183</v>
      </c>
      <c r="E7" s="1156"/>
      <c r="F7" s="1158"/>
      <c r="G7" s="1158"/>
      <c r="H7" s="1158"/>
      <c r="I7" s="1158"/>
      <c r="J7" s="1158"/>
      <c r="K7" s="1158"/>
      <c r="L7" s="1158"/>
      <c r="M7" s="1158"/>
      <c r="N7" s="1158"/>
    </row>
    <row r="8" spans="1:14" ht="25.5" customHeight="1" x14ac:dyDescent="0.2">
      <c r="A8" s="1200"/>
      <c r="B8" s="193">
        <v>2</v>
      </c>
      <c r="C8" s="152" t="s">
        <v>784</v>
      </c>
      <c r="D8" s="906" t="s">
        <v>183</v>
      </c>
      <c r="E8" s="1157"/>
      <c r="F8" s="1158"/>
      <c r="G8" s="1158"/>
      <c r="H8" s="1158"/>
      <c r="I8" s="1158"/>
      <c r="J8" s="1158"/>
      <c r="K8" s="1158"/>
      <c r="L8" s="1158"/>
      <c r="M8" s="1158"/>
      <c r="N8" s="1158"/>
    </row>
    <row r="9" spans="1:14" ht="29.25" customHeight="1" x14ac:dyDescent="0.2">
      <c r="A9" s="1200"/>
      <c r="B9" s="193">
        <v>3</v>
      </c>
      <c r="C9" s="152" t="s">
        <v>785</v>
      </c>
      <c r="D9" s="906" t="s">
        <v>183</v>
      </c>
      <c r="E9" s="1157"/>
      <c r="F9" s="1158"/>
      <c r="G9" s="1158"/>
      <c r="H9" s="1158"/>
      <c r="I9" s="1158"/>
      <c r="J9" s="1158"/>
      <c r="K9" s="1158"/>
      <c r="L9" s="1158"/>
      <c r="M9" s="1158"/>
      <c r="N9" s="1158"/>
    </row>
    <row r="10" spans="1:14" ht="39" customHeight="1" x14ac:dyDescent="0.2">
      <c r="A10" s="1200"/>
      <c r="B10" s="193">
        <v>4</v>
      </c>
      <c r="C10" s="152" t="s">
        <v>786</v>
      </c>
      <c r="D10" s="906" t="s">
        <v>183</v>
      </c>
      <c r="E10" s="1157"/>
      <c r="F10" s="1158"/>
      <c r="G10" s="1158"/>
      <c r="H10" s="1158"/>
      <c r="I10" s="1158"/>
      <c r="J10" s="1158"/>
      <c r="K10" s="1158"/>
      <c r="L10" s="1158"/>
      <c r="M10" s="1158"/>
      <c r="N10" s="1158"/>
    </row>
    <row r="11" spans="1:14" ht="34.5" customHeight="1" x14ac:dyDescent="0.2">
      <c r="A11" s="1200"/>
      <c r="B11" s="193">
        <v>5</v>
      </c>
      <c r="C11" s="837" t="s">
        <v>787</v>
      </c>
      <c r="D11" s="906" t="s">
        <v>183</v>
      </c>
      <c r="E11" s="1157"/>
      <c r="F11" s="1158"/>
      <c r="G11" s="1158"/>
      <c r="H11" s="1158"/>
      <c r="I11" s="1158"/>
      <c r="J11" s="1158"/>
      <c r="K11" s="1158"/>
      <c r="L11" s="1158"/>
      <c r="M11" s="1158"/>
      <c r="N11" s="1158"/>
    </row>
    <row r="12" spans="1:14" ht="35.25" customHeight="1" x14ac:dyDescent="0.2">
      <c r="A12" s="1200" t="s">
        <v>49</v>
      </c>
      <c r="B12" s="193">
        <v>6</v>
      </c>
      <c r="C12" s="152" t="s">
        <v>789</v>
      </c>
      <c r="D12" s="906" t="s">
        <v>183</v>
      </c>
      <c r="E12" s="1157"/>
      <c r="F12" s="1158"/>
      <c r="G12" s="1158"/>
      <c r="H12" s="1158"/>
      <c r="I12" s="1158"/>
      <c r="J12" s="1158"/>
      <c r="K12" s="1158"/>
      <c r="L12" s="1158"/>
      <c r="M12" s="1158"/>
      <c r="N12" s="1158"/>
    </row>
    <row r="13" spans="1:14" ht="29.25" customHeight="1" x14ac:dyDescent="0.2">
      <c r="A13" s="1200"/>
      <c r="B13" s="193">
        <v>7</v>
      </c>
      <c r="C13" s="152" t="s">
        <v>788</v>
      </c>
      <c r="D13" s="906" t="s">
        <v>183</v>
      </c>
      <c r="E13" s="1157"/>
      <c r="F13" s="1158"/>
      <c r="G13" s="1158"/>
      <c r="H13" s="1158"/>
      <c r="I13" s="1158"/>
      <c r="J13" s="1158"/>
      <c r="K13" s="1158"/>
      <c r="L13" s="1158"/>
      <c r="M13" s="1158"/>
      <c r="N13" s="1158"/>
    </row>
    <row r="14" spans="1:14" ht="42.75" customHeight="1" x14ac:dyDescent="0.2">
      <c r="A14" s="1200"/>
      <c r="B14" s="193">
        <v>8</v>
      </c>
      <c r="C14" s="151" t="s">
        <v>533</v>
      </c>
      <c r="D14" s="906" t="s">
        <v>183</v>
      </c>
      <c r="E14" s="1157"/>
      <c r="F14" s="1158"/>
      <c r="G14" s="1158"/>
      <c r="H14" s="1158"/>
      <c r="I14" s="1158"/>
      <c r="J14" s="1158"/>
      <c r="K14" s="1158"/>
      <c r="L14" s="1158"/>
      <c r="M14" s="1158"/>
      <c r="N14" s="1158"/>
    </row>
    <row r="15" spans="1:14" x14ac:dyDescent="0.2">
      <c r="C15" s="153"/>
    </row>
    <row r="16" spans="1:14" x14ac:dyDescent="0.2">
      <c r="C16" s="153"/>
    </row>
    <row r="17" spans="3:3" x14ac:dyDescent="0.2">
      <c r="C17" s="153"/>
    </row>
    <row r="18" spans="3:3" x14ac:dyDescent="0.2">
      <c r="C18" s="153"/>
    </row>
    <row r="19" spans="3:3" x14ac:dyDescent="0.2">
      <c r="C19" s="153"/>
    </row>
    <row r="20" spans="3:3" x14ac:dyDescent="0.2">
      <c r="C20" s="153"/>
    </row>
    <row r="21" spans="3:3" x14ac:dyDescent="0.2">
      <c r="C21" s="153"/>
    </row>
    <row r="22" spans="3:3" x14ac:dyDescent="0.2">
      <c r="C22" s="153"/>
    </row>
    <row r="23" spans="3:3" x14ac:dyDescent="0.2">
      <c r="C23" s="153"/>
    </row>
    <row r="24" spans="3:3" x14ac:dyDescent="0.2">
      <c r="C24" s="153"/>
    </row>
    <row r="25" spans="3:3" x14ac:dyDescent="0.2">
      <c r="C25" s="153"/>
    </row>
    <row r="26" spans="3:3" x14ac:dyDescent="0.2">
      <c r="C26" s="153"/>
    </row>
    <row r="27" spans="3:3" x14ac:dyDescent="0.2">
      <c r="C27" s="153"/>
    </row>
    <row r="28" spans="3:3" x14ac:dyDescent="0.2">
      <c r="C28" s="153"/>
    </row>
    <row r="29" spans="3:3" x14ac:dyDescent="0.2">
      <c r="C29" s="153"/>
    </row>
    <row r="30" spans="3:3" x14ac:dyDescent="0.2">
      <c r="C30" s="153"/>
    </row>
    <row r="31" spans="3:3" x14ac:dyDescent="0.2">
      <c r="C31" s="153"/>
    </row>
    <row r="32" spans="3:3" x14ac:dyDescent="0.2">
      <c r="C32" s="153"/>
    </row>
    <row r="33" spans="3:3" x14ac:dyDescent="0.2">
      <c r="C33" s="153"/>
    </row>
    <row r="34" spans="3:3" x14ac:dyDescent="0.2">
      <c r="C34" s="153"/>
    </row>
    <row r="35" spans="3:3" x14ac:dyDescent="0.2">
      <c r="C35" s="153"/>
    </row>
    <row r="36" spans="3:3" x14ac:dyDescent="0.2">
      <c r="C36" s="153"/>
    </row>
    <row r="37" spans="3:3" x14ac:dyDescent="0.2">
      <c r="C37" s="153"/>
    </row>
    <row r="38" spans="3:3" x14ac:dyDescent="0.2">
      <c r="C38" s="153"/>
    </row>
    <row r="39" spans="3:3" x14ac:dyDescent="0.2">
      <c r="C39" s="153"/>
    </row>
    <row r="40" spans="3:3" x14ac:dyDescent="0.2">
      <c r="C40" s="153"/>
    </row>
    <row r="41" spans="3:3" x14ac:dyDescent="0.2">
      <c r="C41" s="153"/>
    </row>
    <row r="42" spans="3:3" x14ac:dyDescent="0.2">
      <c r="C42" s="153"/>
    </row>
    <row r="43" spans="3:3" x14ac:dyDescent="0.2">
      <c r="C43" s="153"/>
    </row>
    <row r="44" spans="3:3" x14ac:dyDescent="0.2">
      <c r="C44" s="153"/>
    </row>
    <row r="45" spans="3:3" x14ac:dyDescent="0.2">
      <c r="C45" s="153"/>
    </row>
    <row r="46" spans="3:3" x14ac:dyDescent="0.2">
      <c r="C46" s="153"/>
    </row>
    <row r="47" spans="3:3" x14ac:dyDescent="0.2">
      <c r="C47" s="153"/>
    </row>
    <row r="48" spans="3:3" x14ac:dyDescent="0.2">
      <c r="C48" s="153"/>
    </row>
    <row r="49" spans="3:3" x14ac:dyDescent="0.2">
      <c r="C49" s="153"/>
    </row>
    <row r="50" spans="3:3" x14ac:dyDescent="0.2">
      <c r="C50" s="153"/>
    </row>
    <row r="51" spans="3:3" x14ac:dyDescent="0.2">
      <c r="C51" s="153"/>
    </row>
    <row r="52" spans="3:3" x14ac:dyDescent="0.2">
      <c r="C52" s="153"/>
    </row>
    <row r="53" spans="3:3" x14ac:dyDescent="0.2">
      <c r="C53" s="153"/>
    </row>
    <row r="54" spans="3:3" x14ac:dyDescent="0.2">
      <c r="C54" s="153"/>
    </row>
    <row r="55" spans="3:3" x14ac:dyDescent="0.2">
      <c r="C55" s="153"/>
    </row>
    <row r="56" spans="3:3" x14ac:dyDescent="0.2">
      <c r="C56" s="153"/>
    </row>
    <row r="57" spans="3:3" x14ac:dyDescent="0.2">
      <c r="C57" s="153"/>
    </row>
    <row r="58" spans="3:3" x14ac:dyDescent="0.2">
      <c r="C58" s="153"/>
    </row>
    <row r="59" spans="3:3" x14ac:dyDescent="0.2">
      <c r="C59" s="153"/>
    </row>
    <row r="60" spans="3:3" x14ac:dyDescent="0.2">
      <c r="C60" s="153"/>
    </row>
    <row r="61" spans="3:3" x14ac:dyDescent="0.2">
      <c r="C61" s="153"/>
    </row>
    <row r="62" spans="3:3" x14ac:dyDescent="0.2">
      <c r="C62" s="153"/>
    </row>
    <row r="63" spans="3:3" x14ac:dyDescent="0.2">
      <c r="C63" s="153"/>
    </row>
    <row r="64" spans="3:3" x14ac:dyDescent="0.2">
      <c r="C64" s="153"/>
    </row>
    <row r="65" spans="3:3" x14ac:dyDescent="0.2">
      <c r="C65" s="153"/>
    </row>
    <row r="66" spans="3:3" x14ac:dyDescent="0.2">
      <c r="C66" s="153"/>
    </row>
    <row r="67" spans="3:3" x14ac:dyDescent="0.2">
      <c r="C67" s="153"/>
    </row>
    <row r="68" spans="3:3" x14ac:dyDescent="0.2">
      <c r="C68" s="153"/>
    </row>
    <row r="69" spans="3:3" x14ac:dyDescent="0.2">
      <c r="C69" s="153"/>
    </row>
    <row r="70" spans="3:3" x14ac:dyDescent="0.2">
      <c r="C70" s="153"/>
    </row>
    <row r="71" spans="3:3" x14ac:dyDescent="0.2">
      <c r="C71" s="153"/>
    </row>
    <row r="72" spans="3:3" x14ac:dyDescent="0.2">
      <c r="C72" s="153"/>
    </row>
    <row r="73" spans="3:3" x14ac:dyDescent="0.2">
      <c r="C73" s="153"/>
    </row>
    <row r="74" spans="3:3" x14ac:dyDescent="0.2">
      <c r="C74" s="153"/>
    </row>
    <row r="75" spans="3:3" x14ac:dyDescent="0.2">
      <c r="C75" s="153"/>
    </row>
    <row r="76" spans="3:3" x14ac:dyDescent="0.2">
      <c r="C76" s="153"/>
    </row>
    <row r="77" spans="3:3" x14ac:dyDescent="0.2">
      <c r="C77" s="153"/>
    </row>
    <row r="78" spans="3:3" x14ac:dyDescent="0.2">
      <c r="C78" s="153"/>
    </row>
    <row r="79" spans="3:3" x14ac:dyDescent="0.2">
      <c r="C79" s="153"/>
    </row>
    <row r="80" spans="3:3" x14ac:dyDescent="0.2">
      <c r="C80" s="153"/>
    </row>
    <row r="81" spans="3:3" x14ac:dyDescent="0.2">
      <c r="C81" s="153"/>
    </row>
  </sheetData>
  <mergeCells count="4">
    <mergeCell ref="A3:I3"/>
    <mergeCell ref="A7:A11"/>
    <mergeCell ref="A12:A14"/>
    <mergeCell ref="A5:A6"/>
  </mergeCells>
  <phoneticPr fontId="10" type="noConversion"/>
  <printOptions horizontalCentered="1"/>
  <pageMargins left="0.75" right="0.75" top="1" bottom="1" header="0.5" footer="0.5"/>
  <pageSetup paperSize="17" scale="87" fitToHeight="2" orientation="landscape" r:id="rId1"/>
  <headerFooter alignWithMargins="0">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V50"/>
  <sheetViews>
    <sheetView topLeftCell="A18" zoomScale="70" zoomScaleNormal="70" zoomScaleSheetLayoutView="100" workbookViewId="0">
      <pane xSplit="4" ySplit="2" topLeftCell="E20" activePane="bottomRight" state="frozen"/>
      <selection activeCell="A18" sqref="A18"/>
      <selection pane="topRight" activeCell="E18" sqref="E18"/>
      <selection pane="bottomLeft" activeCell="A20" sqref="A20"/>
      <selection pane="bottomRight" activeCell="G21" sqref="G21"/>
    </sheetView>
  </sheetViews>
  <sheetFormatPr defaultRowHeight="12.75" x14ac:dyDescent="0.2"/>
  <cols>
    <col min="1" max="1" width="7.140625" customWidth="1"/>
    <col min="2" max="2" width="7.140625" style="305" customWidth="1"/>
    <col min="3" max="3" width="65.85546875" style="306" customWidth="1"/>
    <col min="4" max="4" width="5.42578125" style="903" customWidth="1"/>
    <col min="5" max="5" width="6.85546875" style="313" customWidth="1"/>
    <col min="6" max="6" width="6.7109375" style="313" customWidth="1"/>
    <col min="7" max="7" width="7.42578125" style="313" customWidth="1"/>
    <col min="8" max="8" width="5.85546875" style="313" customWidth="1"/>
    <col min="9" max="9" width="6.5703125" style="313" customWidth="1"/>
    <col min="10" max="10" width="7.42578125" style="313" customWidth="1"/>
    <col min="11" max="11" width="7.85546875" customWidth="1"/>
    <col min="12" max="12" width="7.7109375" customWidth="1"/>
    <col min="13" max="13" width="6.42578125" customWidth="1"/>
    <col min="14" max="14" width="7.28515625" customWidth="1"/>
    <col min="15" max="15" width="4.7109375" customWidth="1"/>
    <col min="16" max="16" width="6.7109375" customWidth="1"/>
    <col min="17" max="17" width="4.85546875" customWidth="1"/>
    <col min="18" max="18" width="4.42578125" customWidth="1"/>
    <col min="19" max="19" width="7.42578125" customWidth="1"/>
    <col min="20" max="20" width="4.140625" customWidth="1"/>
    <col min="21" max="21" width="4.7109375" customWidth="1"/>
    <col min="22" max="22" width="6.42578125" customWidth="1"/>
    <col min="23" max="23" width="4.42578125" customWidth="1"/>
    <col min="24" max="24" width="4.5703125" customWidth="1"/>
    <col min="25" max="25" width="6.140625" customWidth="1"/>
    <col min="26" max="26" width="3.85546875" customWidth="1"/>
    <col min="27" max="27" width="4.7109375" customWidth="1"/>
    <col min="28" max="28" width="7" customWidth="1"/>
    <col min="29" max="29" width="5.85546875" customWidth="1"/>
    <col min="30" max="30" width="4.42578125" customWidth="1"/>
    <col min="31" max="31" width="7.42578125" customWidth="1"/>
    <col min="32" max="32" width="3.85546875" customWidth="1"/>
    <col min="33" max="33" width="5.140625" customWidth="1"/>
    <col min="34" max="34" width="6.28515625" customWidth="1"/>
  </cols>
  <sheetData>
    <row r="1" spans="1:100" ht="40.5" customHeight="1" thickBot="1" x14ac:dyDescent="0.25">
      <c r="A1" s="1202" t="s">
        <v>650</v>
      </c>
      <c r="B1" s="1203"/>
      <c r="C1" s="1203"/>
      <c r="D1" s="1203"/>
      <c r="E1" s="1203"/>
      <c r="F1" s="1204"/>
      <c r="G1" s="978"/>
      <c r="H1" s="978"/>
      <c r="I1" s="978"/>
      <c r="J1" s="978"/>
    </row>
    <row r="2" spans="1:100" ht="12.75" customHeight="1" x14ac:dyDescent="0.2">
      <c r="A2" s="1210" t="s">
        <v>64</v>
      </c>
      <c r="B2" s="1211"/>
      <c r="C2" s="1212"/>
      <c r="D2" s="878" t="s">
        <v>710</v>
      </c>
      <c r="E2" s="879"/>
      <c r="F2" s="929">
        <f>VEG_DATA!AE324</f>
        <v>0</v>
      </c>
      <c r="H2" s="870"/>
      <c r="I2" s="937"/>
      <c r="J2" s="937"/>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870"/>
      <c r="AL2" s="870"/>
      <c r="AM2" s="870"/>
      <c r="AN2" s="870"/>
      <c r="AO2" s="870"/>
      <c r="AP2" s="870"/>
      <c r="AQ2" s="870"/>
      <c r="AR2" s="870"/>
      <c r="AS2" s="870"/>
      <c r="AT2" s="870"/>
      <c r="AU2" s="870"/>
      <c r="AV2" s="870"/>
      <c r="AW2" s="870"/>
      <c r="AX2" s="870"/>
      <c r="AY2" s="870"/>
      <c r="AZ2" s="870"/>
      <c r="BA2" s="870"/>
      <c r="BB2" s="870"/>
      <c r="BC2" s="870"/>
      <c r="BD2" s="870"/>
      <c r="BE2" s="870"/>
      <c r="BF2" s="870"/>
      <c r="BG2" s="870"/>
      <c r="BH2" s="870"/>
      <c r="BI2" s="870"/>
      <c r="BJ2" s="870"/>
      <c r="BK2" s="870"/>
      <c r="BL2" s="870"/>
      <c r="BM2" s="870"/>
      <c r="BN2" s="870"/>
      <c r="BO2" s="870"/>
      <c r="BP2" s="870"/>
      <c r="BQ2" s="870"/>
      <c r="BR2" s="870"/>
      <c r="BS2" s="870"/>
      <c r="BT2" s="870"/>
      <c r="BU2" s="870"/>
      <c r="BV2" s="870"/>
      <c r="BW2" s="870"/>
      <c r="BX2" s="870"/>
      <c r="BY2" s="870"/>
      <c r="BZ2" s="870"/>
      <c r="CA2" s="870"/>
      <c r="CB2" s="870"/>
      <c r="CC2" s="870"/>
      <c r="CD2" s="870"/>
      <c r="CE2" s="870"/>
      <c r="CF2" s="870"/>
      <c r="CG2" s="870"/>
      <c r="CH2" s="870"/>
      <c r="CI2" s="870"/>
      <c r="CJ2" s="870"/>
      <c r="CK2" s="870"/>
      <c r="CL2" s="870"/>
      <c r="CM2" s="870"/>
      <c r="CN2" s="870"/>
      <c r="CO2" s="870"/>
      <c r="CP2" s="870"/>
      <c r="CQ2" s="870"/>
      <c r="CR2" s="870"/>
      <c r="CS2" s="870"/>
      <c r="CT2" s="870"/>
      <c r="CU2" s="870"/>
      <c r="CV2" s="870"/>
    </row>
    <row r="3" spans="1:100" s="880" customFormat="1" ht="13.5" customHeight="1" thickBot="1" x14ac:dyDescent="0.25">
      <c r="A3" s="1213"/>
      <c r="B3" s="1214"/>
      <c r="C3" s="1215"/>
      <c r="D3" s="930" t="s">
        <v>709</v>
      </c>
      <c r="E3" s="931"/>
      <c r="F3" s="932">
        <f>Bird_Field!D5</f>
        <v>0</v>
      </c>
      <c r="H3" s="870"/>
      <c r="I3" s="937"/>
      <c r="J3" s="937"/>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870"/>
      <c r="AJ3" s="870"/>
      <c r="AK3" s="870"/>
      <c r="AL3" s="870"/>
      <c r="AM3" s="870"/>
      <c r="AN3" s="870"/>
      <c r="AO3" s="870"/>
      <c r="AP3" s="870"/>
      <c r="AQ3" s="870"/>
      <c r="AR3" s="870"/>
      <c r="AS3" s="870"/>
      <c r="AT3" s="870"/>
      <c r="AU3" s="870"/>
      <c r="AV3" s="870"/>
      <c r="AW3" s="870"/>
      <c r="AX3" s="870"/>
      <c r="AY3" s="870"/>
      <c r="AZ3" s="870"/>
      <c r="BA3" s="870"/>
      <c r="BB3" s="870"/>
      <c r="BC3" s="870"/>
      <c r="BD3" s="870"/>
      <c r="BE3" s="870"/>
      <c r="BF3" s="870"/>
      <c r="BG3" s="870"/>
      <c r="BH3" s="870"/>
      <c r="BI3" s="870"/>
      <c r="BJ3" s="870"/>
      <c r="BK3" s="870"/>
      <c r="BL3" s="870"/>
      <c r="BM3" s="870"/>
      <c r="BN3" s="870"/>
      <c r="BO3" s="870"/>
      <c r="BP3" s="870"/>
      <c r="BQ3" s="870"/>
      <c r="BR3" s="870"/>
      <c r="BS3" s="870"/>
      <c r="BT3" s="870"/>
      <c r="BU3" s="870"/>
      <c r="BV3" s="870"/>
      <c r="BW3" s="870"/>
      <c r="BX3" s="870"/>
      <c r="BY3" s="870"/>
      <c r="BZ3" s="870"/>
      <c r="CA3" s="870"/>
      <c r="CB3" s="870"/>
      <c r="CC3" s="870"/>
      <c r="CD3" s="870"/>
      <c r="CE3" s="870"/>
      <c r="CF3" s="870"/>
      <c r="CG3" s="870"/>
      <c r="CH3" s="870"/>
      <c r="CI3" s="870"/>
      <c r="CJ3" s="870"/>
      <c r="CK3" s="870"/>
      <c r="CL3" s="870"/>
      <c r="CM3" s="870"/>
      <c r="CN3" s="870"/>
      <c r="CO3" s="870"/>
      <c r="CP3" s="870"/>
      <c r="CQ3" s="870"/>
      <c r="CR3" s="870"/>
      <c r="CS3" s="870"/>
      <c r="CT3" s="870"/>
      <c r="CU3" s="870"/>
      <c r="CV3" s="870"/>
    </row>
    <row r="4" spans="1:100" s="881" customFormat="1" ht="69" customHeight="1" thickBot="1" x14ac:dyDescent="0.25">
      <c r="A4" s="933"/>
      <c r="B4" s="934" t="s">
        <v>32</v>
      </c>
      <c r="C4" s="935" t="s">
        <v>30</v>
      </c>
      <c r="D4" s="934" t="s">
        <v>31</v>
      </c>
      <c r="E4" s="934" t="s">
        <v>35</v>
      </c>
      <c r="F4" s="936" t="s">
        <v>773</v>
      </c>
      <c r="H4" s="919"/>
      <c r="I4" s="938"/>
      <c r="J4" s="938"/>
    </row>
    <row r="5" spans="1:100" s="2" customFormat="1" ht="16.5" customHeight="1" x14ac:dyDescent="0.2">
      <c r="A5" s="952"/>
      <c r="B5" s="953"/>
      <c r="C5" s="953" t="s">
        <v>176</v>
      </c>
      <c r="D5" s="954"/>
      <c r="E5" s="954"/>
      <c r="F5" s="955"/>
      <c r="H5" s="870"/>
      <c r="I5" s="939"/>
      <c r="J5" s="939"/>
    </row>
    <row r="6" spans="1:100" s="2" customFormat="1" ht="16.5" customHeight="1" x14ac:dyDescent="0.2">
      <c r="A6" s="956"/>
      <c r="B6" s="957"/>
      <c r="C6" s="957" t="s">
        <v>11</v>
      </c>
      <c r="D6" s="958">
        <f>VEG_DATA!AA325</f>
        <v>0</v>
      </c>
      <c r="E6" s="948"/>
      <c r="F6" s="959"/>
      <c r="H6" s="870"/>
      <c r="I6" s="939"/>
      <c r="J6" s="939"/>
    </row>
    <row r="7" spans="1:100" s="7" customFormat="1" ht="30.75" customHeight="1" x14ac:dyDescent="0.2">
      <c r="A7" s="1216" t="s">
        <v>437</v>
      </c>
      <c r="B7" s="873">
        <f>+Bird_Office!A7</f>
        <v>1</v>
      </c>
      <c r="C7" s="874" t="s">
        <v>564</v>
      </c>
      <c r="D7" s="875">
        <f>+IF(Bird_Office!D16&lt;1,0,IF(Bird_Office!D16&lt;2,0.5,IF(Bird_Office!D16&lt;3,0.75,IF(Bird_Office!D16&lt;4,0.85,1))))</f>
        <v>0</v>
      </c>
      <c r="E7" s="875">
        <v>3</v>
      </c>
      <c r="F7" s="960">
        <f>+D7*E7</f>
        <v>0</v>
      </c>
      <c r="H7" s="868"/>
      <c r="I7" s="951"/>
      <c r="J7" s="951"/>
    </row>
    <row r="8" spans="1:100" s="9" customFormat="1" ht="30.75" customHeight="1" x14ac:dyDescent="0.2">
      <c r="A8" s="1216"/>
      <c r="B8" s="876">
        <f>+Bird_Office!A17</f>
        <v>2</v>
      </c>
      <c r="C8" s="874" t="s">
        <v>620</v>
      </c>
      <c r="D8" s="875">
        <f>+Bird_Office!D17</f>
        <v>0</v>
      </c>
      <c r="E8" s="875">
        <f>+IF(D8=0,0,1)</f>
        <v>0</v>
      </c>
      <c r="F8" s="960" t="str">
        <f>+IFERROR(D8/E8,"")</f>
        <v/>
      </c>
      <c r="H8" s="869"/>
      <c r="I8" s="951"/>
      <c r="J8" s="951"/>
      <c r="K8" s="863"/>
      <c r="L8" s="863"/>
    </row>
    <row r="9" spans="1:100" s="9" customFormat="1" ht="30.75" customHeight="1" x14ac:dyDescent="0.2">
      <c r="A9" s="1216"/>
      <c r="B9" s="876">
        <f>+Bird_Office!A18</f>
        <v>3</v>
      </c>
      <c r="C9" s="877" t="s">
        <v>566</v>
      </c>
      <c r="D9" s="875">
        <f>+IF(Bird_Office!D18&lt;8,Bird_Office!D18, 8)</f>
        <v>0</v>
      </c>
      <c r="E9" s="875">
        <v>2</v>
      </c>
      <c r="F9" s="960">
        <f>+(D9/8)*E9</f>
        <v>0</v>
      </c>
      <c r="H9" s="869"/>
      <c r="I9" s="951"/>
      <c r="J9" s="951"/>
      <c r="AA9" s="864"/>
    </row>
    <row r="10" spans="1:100" s="9" customFormat="1" ht="45" customHeight="1" x14ac:dyDescent="0.2">
      <c r="A10" s="1216"/>
      <c r="B10" s="876">
        <f>+Bird_Office!A19</f>
        <v>4</v>
      </c>
      <c r="C10" s="877" t="s">
        <v>107</v>
      </c>
      <c r="D10" s="875">
        <f>+IF(Bird_Office!D19&lt;0.5,0,IF(Bird_Office!D19&lt;2.5,1,IF(Bird_Office!D19&lt;10.5,2,IF(Bird_Office!D19&lt;19.5,3,IF(Bird_Office!D19&lt;37.5,4,IF(Bird_Office!D19&lt;75,5,6))))))</f>
        <v>0</v>
      </c>
      <c r="E10" s="875">
        <v>1</v>
      </c>
      <c r="F10" s="960">
        <f>+(D10/6)*E10</f>
        <v>0</v>
      </c>
      <c r="H10"/>
      <c r="I10"/>
      <c r="J10"/>
      <c r="AA10" s="865"/>
    </row>
    <row r="11" spans="1:100" s="9" customFormat="1" ht="44.25" customHeight="1" x14ac:dyDescent="0.2">
      <c r="A11" s="1216"/>
      <c r="B11" s="876">
        <f>+Bird_Office!A20</f>
        <v>5</v>
      </c>
      <c r="C11" s="877" t="s">
        <v>9</v>
      </c>
      <c r="D11" s="875">
        <f>IF(Bird_Office!D26=0,0,(1-(Bird_Office!D26)/100))</f>
        <v>0</v>
      </c>
      <c r="E11" s="875">
        <v>1</v>
      </c>
      <c r="F11" s="960">
        <f>+D11*E11</f>
        <v>0</v>
      </c>
      <c r="H11"/>
      <c r="I11"/>
      <c r="J11"/>
    </row>
    <row r="12" spans="1:100" ht="15" x14ac:dyDescent="0.2">
      <c r="A12" s="961"/>
      <c r="B12" s="962"/>
      <c r="C12" s="957" t="s">
        <v>175</v>
      </c>
      <c r="D12" s="949"/>
      <c r="E12" s="949">
        <f>+SUM(E7:E11)</f>
        <v>7</v>
      </c>
      <c r="F12" s="973">
        <f>+(SUM(F7:F11))/E12</f>
        <v>0</v>
      </c>
      <c r="H12"/>
      <c r="I12"/>
      <c r="J12"/>
    </row>
    <row r="13" spans="1:100" ht="16.5" customHeight="1" x14ac:dyDescent="0.2">
      <c r="A13" s="963"/>
      <c r="B13" s="964"/>
      <c r="C13" s="965" t="s">
        <v>658</v>
      </c>
      <c r="D13" s="950"/>
      <c r="E13" s="950"/>
      <c r="F13" s="966"/>
      <c r="H13"/>
      <c r="I13"/>
      <c r="J13"/>
    </row>
    <row r="14" spans="1:100" ht="25.5" customHeight="1" x14ac:dyDescent="0.2">
      <c r="A14" s="1217" t="s">
        <v>695</v>
      </c>
      <c r="B14" s="340" t="s">
        <v>207</v>
      </c>
      <c r="C14" s="341" t="s">
        <v>62</v>
      </c>
      <c r="D14" s="342">
        <f>+IF(VEG_DATA!AC324=0,0,IF(VEG_DATA!AC324&lt;0.5,1,IF(VEG_DATA!AC324&lt;2.5,2,IF(VEG_DATA!AC324&lt;5,3,IF(VEG_DATA!AC324&lt;10,4,IF(VEG_DATA!AC324&lt;20,5,6))))))</f>
        <v>0</v>
      </c>
      <c r="E14" s="342">
        <v>20</v>
      </c>
      <c r="F14" s="967">
        <f>+(D14/6)*E14</f>
        <v>0</v>
      </c>
      <c r="H14"/>
      <c r="I14"/>
      <c r="J14"/>
    </row>
    <row r="15" spans="1:100" ht="33.75" customHeight="1" thickBot="1" x14ac:dyDescent="0.25">
      <c r="A15" s="1218"/>
      <c r="B15" s="968" t="s">
        <v>208</v>
      </c>
      <c r="C15" s="969" t="s">
        <v>22</v>
      </c>
      <c r="D15" s="970">
        <f>+IF(VEG_DATA!AD324=0,0,IF(VEG_DATA!AD324&lt;10,1,IF(VEG_DATA!AD324&lt;25,2,IF(VEG_DATA!AD324&lt;50,3,IF(VEG_DATA!AD324&lt;75,4,5)))))</f>
        <v>0</v>
      </c>
      <c r="E15" s="971">
        <v>10</v>
      </c>
      <c r="F15" s="972">
        <f>+(D15/5)*E15</f>
        <v>0</v>
      </c>
      <c r="H15" s="598"/>
      <c r="I15"/>
      <c r="J15"/>
    </row>
    <row r="16" spans="1:100" ht="16.5" customHeight="1" thickBot="1" x14ac:dyDescent="0.25">
      <c r="A16" s="6"/>
      <c r="B16" s="311"/>
      <c r="C16" s="312" t="s">
        <v>656</v>
      </c>
      <c r="D16" s="314"/>
      <c r="E16" s="314">
        <f>SUM(E14:E15)</f>
        <v>30</v>
      </c>
      <c r="F16" s="974">
        <f>+(SUM(F14:F15))/E16</f>
        <v>0</v>
      </c>
      <c r="H16" s="871"/>
      <c r="I16"/>
      <c r="J16"/>
    </row>
    <row r="17" spans="1:35" ht="27.75" customHeight="1" thickBot="1" x14ac:dyDescent="0.25">
      <c r="A17" s="755"/>
      <c r="B17" s="882"/>
      <c r="C17" s="882" t="s">
        <v>657</v>
      </c>
      <c r="D17" s="898"/>
      <c r="E17" s="882"/>
      <c r="F17" s="882"/>
      <c r="G17" s="882"/>
      <c r="H17" s="882"/>
      <c r="I17" s="882"/>
      <c r="J17" s="882"/>
      <c r="K17" s="882"/>
      <c r="L17" s="882"/>
      <c r="M17" s="882"/>
      <c r="N17" s="882"/>
      <c r="O17" s="882"/>
      <c r="P17" s="882"/>
      <c r="Q17" s="882"/>
      <c r="R17" s="882"/>
      <c r="S17" s="882"/>
      <c r="T17" s="882"/>
      <c r="U17" s="1129"/>
      <c r="V17" s="1129"/>
      <c r="W17" s="1129"/>
      <c r="X17" s="1129"/>
      <c r="Y17" s="1129"/>
      <c r="Z17" s="1129"/>
      <c r="AA17" s="1129"/>
      <c r="AB17" s="1129"/>
      <c r="AC17" s="1129"/>
      <c r="AD17" s="1129"/>
      <c r="AE17" s="1129"/>
      <c r="AF17" s="1129"/>
      <c r="AG17" s="1129"/>
      <c r="AH17" s="1129"/>
    </row>
    <row r="18" spans="1:35" ht="16.5" customHeight="1" thickBot="1" x14ac:dyDescent="0.25">
      <c r="A18" s="755"/>
      <c r="B18" s="883"/>
      <c r="C18" s="884" t="s">
        <v>429</v>
      </c>
      <c r="D18" s="899"/>
      <c r="E18" s="885">
        <v>1</v>
      </c>
      <c r="F18" s="886"/>
      <c r="G18" s="886"/>
      <c r="H18" s="885">
        <v>2</v>
      </c>
      <c r="I18" s="886"/>
      <c r="J18" s="886"/>
      <c r="K18" s="885">
        <v>3</v>
      </c>
      <c r="L18" s="886"/>
      <c r="M18" s="887"/>
      <c r="N18" s="885">
        <v>4</v>
      </c>
      <c r="O18" s="886"/>
      <c r="P18" s="887"/>
      <c r="Q18" s="885">
        <v>5</v>
      </c>
      <c r="R18" s="888"/>
      <c r="S18" s="889"/>
      <c r="T18" s="885">
        <v>6</v>
      </c>
      <c r="U18" s="888"/>
      <c r="V18" s="889"/>
      <c r="W18" s="885">
        <v>7</v>
      </c>
      <c r="X18" s="888"/>
      <c r="Y18" s="889"/>
      <c r="Z18" s="885">
        <v>8</v>
      </c>
      <c r="AA18" s="888"/>
      <c r="AB18" s="889"/>
      <c r="AC18" s="885">
        <v>9</v>
      </c>
      <c r="AD18" s="888"/>
      <c r="AE18" s="889"/>
      <c r="AF18" s="885">
        <v>10</v>
      </c>
      <c r="AG18" s="888"/>
      <c r="AH18" s="889"/>
    </row>
    <row r="19" spans="1:35" ht="60" customHeight="1" thickBot="1" x14ac:dyDescent="0.25">
      <c r="A19" s="18"/>
      <c r="B19" s="883" t="s">
        <v>713</v>
      </c>
      <c r="C19" s="890" t="s">
        <v>30</v>
      </c>
      <c r="D19" s="900" t="s">
        <v>35</v>
      </c>
      <c r="E19" s="891" t="s">
        <v>697</v>
      </c>
      <c r="F19" s="892" t="s">
        <v>711</v>
      </c>
      <c r="G19" s="892" t="s">
        <v>712</v>
      </c>
      <c r="H19" s="891" t="s">
        <v>697</v>
      </c>
      <c r="I19" s="892" t="s">
        <v>711</v>
      </c>
      <c r="J19" s="892" t="s">
        <v>712</v>
      </c>
      <c r="K19" s="891" t="s">
        <v>697</v>
      </c>
      <c r="L19" s="892" t="s">
        <v>711</v>
      </c>
      <c r="M19" s="892" t="s">
        <v>712</v>
      </c>
      <c r="N19" s="891" t="s">
        <v>697</v>
      </c>
      <c r="O19" s="892" t="s">
        <v>711</v>
      </c>
      <c r="P19" s="892" t="s">
        <v>712</v>
      </c>
      <c r="Q19" s="891" t="s">
        <v>697</v>
      </c>
      <c r="R19" s="892" t="s">
        <v>711</v>
      </c>
      <c r="S19" s="892" t="s">
        <v>712</v>
      </c>
      <c r="T19" s="891" t="s">
        <v>697</v>
      </c>
      <c r="U19" s="892" t="s">
        <v>711</v>
      </c>
      <c r="V19" s="892" t="s">
        <v>712</v>
      </c>
      <c r="W19" s="891" t="s">
        <v>697</v>
      </c>
      <c r="X19" s="892" t="s">
        <v>711</v>
      </c>
      <c r="Y19" s="892" t="s">
        <v>712</v>
      </c>
      <c r="Z19" s="891" t="s">
        <v>697</v>
      </c>
      <c r="AA19" s="892" t="s">
        <v>711</v>
      </c>
      <c r="AB19" s="892" t="s">
        <v>712</v>
      </c>
      <c r="AC19" s="891" t="s">
        <v>697</v>
      </c>
      <c r="AD19" s="892" t="s">
        <v>711</v>
      </c>
      <c r="AE19" s="892" t="s">
        <v>712</v>
      </c>
      <c r="AF19" s="891" t="s">
        <v>697</v>
      </c>
      <c r="AG19" s="892" t="s">
        <v>711</v>
      </c>
      <c r="AH19" s="892" t="s">
        <v>712</v>
      </c>
    </row>
    <row r="20" spans="1:35" s="3" customFormat="1" ht="21" customHeight="1" x14ac:dyDescent="0.2">
      <c r="A20" s="1220" t="s">
        <v>441</v>
      </c>
      <c r="B20" s="867"/>
      <c r="C20" s="717" t="s">
        <v>429</v>
      </c>
      <c r="D20" s="1084"/>
      <c r="E20" s="1085" t="str">
        <f>IF(VEG_DATA!A13="","",VEG_DATA!A13)</f>
        <v/>
      </c>
      <c r="F20" s="1085"/>
      <c r="G20" s="1085"/>
      <c r="H20" s="1085" t="str">
        <f>IF(VEG_DATA!A43="","",VEG_DATA!A43)</f>
        <v/>
      </c>
      <c r="I20" s="1085"/>
      <c r="J20" s="1085"/>
      <c r="K20" s="1085" t="str">
        <f>IF(VEG_DATA!A73="","",VEG_DATA!A73)</f>
        <v/>
      </c>
      <c r="L20" s="1086" t="s">
        <v>27</v>
      </c>
      <c r="M20" s="1086" t="s">
        <v>27</v>
      </c>
      <c r="N20" s="1085" t="str">
        <f>IF(VEG_DATA!A103="","",VEG_DATA!A103)</f>
        <v/>
      </c>
      <c r="O20" s="1085"/>
      <c r="P20" s="1085"/>
      <c r="Q20" s="1085" t="str">
        <f>IF(VEG_DATA!A133="","",VEG_DATA!A133)</f>
        <v/>
      </c>
      <c r="R20" s="1085"/>
      <c r="S20" s="1085"/>
      <c r="T20" s="1085" t="str">
        <f>IF(VEG_DATA!A163="","",VEG_DATA!A163)</f>
        <v/>
      </c>
      <c r="U20" s="1085"/>
      <c r="V20" s="1085"/>
      <c r="W20" s="1085" t="str">
        <f>IF(VEG_DATA!A193="","",VEG_DATA!A193)</f>
        <v/>
      </c>
      <c r="X20" s="1085"/>
      <c r="Y20" s="1085"/>
      <c r="Z20" s="1085" t="str">
        <f>IF(VEG_DATA!A223="","",VEG_DATA!A223)</f>
        <v/>
      </c>
      <c r="AA20" s="1085"/>
      <c r="AB20" s="1085"/>
      <c r="AC20" s="1085" t="str">
        <f>IF(VEG_DATA!A253="","",VEG_DATA!A253)</f>
        <v/>
      </c>
      <c r="AD20" s="1085"/>
      <c r="AE20" s="1085"/>
      <c r="AF20" s="1085" t="str">
        <f>IF(VEG_DATA!A283="","",VEG_DATA!A283)</f>
        <v/>
      </c>
      <c r="AG20" s="1085"/>
      <c r="AH20" s="1085"/>
    </row>
    <row r="21" spans="1:35" s="3" customFormat="1" ht="21" customHeight="1" x14ac:dyDescent="0.2">
      <c r="A21" s="1221"/>
      <c r="B21" s="345">
        <v>1</v>
      </c>
      <c r="C21" s="347" t="s">
        <v>696</v>
      </c>
      <c r="D21" s="1105">
        <v>0</v>
      </c>
      <c r="E21" s="1106">
        <f>IFERROR(VEG_DATA!$AE313," ")</f>
        <v>0</v>
      </c>
      <c r="F21" s="1107">
        <f>IFERROR(E21/$D6,0)</f>
        <v>0</v>
      </c>
      <c r="G21" s="1106">
        <f>IFERROR(F21*$D21,"")</f>
        <v>0</v>
      </c>
      <c r="H21" s="1106">
        <f>IFERROR(VEG_DATA!$AE314," ")</f>
        <v>0</v>
      </c>
      <c r="I21" s="1107">
        <f>IFERROR(H21/$D6,0)</f>
        <v>0</v>
      </c>
      <c r="J21" s="1106">
        <f>IFERROR(I21*$D21,"")</f>
        <v>0</v>
      </c>
      <c r="K21" s="1106">
        <f>VEG_DATA!$AE315</f>
        <v>0</v>
      </c>
      <c r="L21" s="1107">
        <f>IFERROR(K21/$D6,0)</f>
        <v>0</v>
      </c>
      <c r="M21" s="1106">
        <f>+L21*$D21</f>
        <v>0</v>
      </c>
      <c r="N21" s="1106">
        <f>VEG_DATA!$AE316</f>
        <v>0</v>
      </c>
      <c r="O21" s="1107">
        <f>+IFERROR(N21/$D6,0)</f>
        <v>0</v>
      </c>
      <c r="P21" s="1106">
        <f>+O21*$D21</f>
        <v>0</v>
      </c>
      <c r="Q21" s="1106">
        <f>VEG_DATA!$AE317</f>
        <v>0</v>
      </c>
      <c r="R21" s="1107">
        <f>IFERROR(Q21/$D6,0)</f>
        <v>0</v>
      </c>
      <c r="S21" s="1106">
        <f>+R21*$D21</f>
        <v>0</v>
      </c>
      <c r="T21" s="1106">
        <f>VEG_DATA!$AE318</f>
        <v>0</v>
      </c>
      <c r="U21" s="1107">
        <f>IFERROR(T21/$D6,0)</f>
        <v>0</v>
      </c>
      <c r="V21" s="1106">
        <f>+U21*$D21</f>
        <v>0</v>
      </c>
      <c r="W21" s="1106">
        <f>VEG_DATA!$AE319</f>
        <v>0</v>
      </c>
      <c r="X21" s="1107">
        <f>+IFERROR(W21/$D6,0)</f>
        <v>0</v>
      </c>
      <c r="Y21" s="1106">
        <f>+X21*$D21</f>
        <v>0</v>
      </c>
      <c r="Z21" s="1106">
        <f>VEG_DATA!$AE320</f>
        <v>0</v>
      </c>
      <c r="AA21" s="1107">
        <f>IFERROR(Z21/$D6,0)</f>
        <v>0</v>
      </c>
      <c r="AB21" s="1106">
        <f>+AA21*$D21</f>
        <v>0</v>
      </c>
      <c r="AC21" s="1106">
        <f>VEG_DATA!$AE321</f>
        <v>0</v>
      </c>
      <c r="AD21" s="1107">
        <f>IFERROR(AC21/$D6,0)</f>
        <v>0</v>
      </c>
      <c r="AE21" s="1106">
        <f>+AD21*$D21</f>
        <v>0</v>
      </c>
      <c r="AF21" s="1106">
        <f>VEG_DATA!$AE322</f>
        <v>0</v>
      </c>
      <c r="AG21" s="1107">
        <f>IFERROR(AF21/$D6,0)</f>
        <v>0</v>
      </c>
      <c r="AH21" s="1106">
        <f>+AG21*$D21</f>
        <v>0</v>
      </c>
    </row>
    <row r="22" spans="1:35" s="3" customFormat="1" ht="21" customHeight="1" x14ac:dyDescent="0.2">
      <c r="A22" s="1221"/>
      <c r="B22" s="346">
        <v>2</v>
      </c>
      <c r="C22" s="347" t="s">
        <v>571</v>
      </c>
      <c r="D22" s="1105">
        <v>10</v>
      </c>
      <c r="E22" s="1106">
        <f>IFERROR(IF(VEG_DATA!$AC313&lt;E21,VEG_DATA!$AC313, E21), " ")</f>
        <v>0</v>
      </c>
      <c r="F22" s="1107">
        <f>IFERROR(E22/E21, 0)</f>
        <v>0</v>
      </c>
      <c r="G22" s="1106">
        <f>$D22*F22</f>
        <v>0</v>
      </c>
      <c r="H22" s="1106">
        <f>IFERROR(IF(VEG_DATA!$AC314&lt;H21,VEG_DATA!$AC314, H21)," ")</f>
        <v>0</v>
      </c>
      <c r="I22" s="1107">
        <f>IFERROR(H22/H21, 0)</f>
        <v>0</v>
      </c>
      <c r="J22" s="1106">
        <f>$D22*I22</f>
        <v>0</v>
      </c>
      <c r="K22" s="1106">
        <f>IF(VEG_DATA!$AC315&lt;K21,VEG_DATA!$AC315, K21)</f>
        <v>0</v>
      </c>
      <c r="L22" s="1107">
        <f>IFERROR(K22/K21, 0)</f>
        <v>0</v>
      </c>
      <c r="M22" s="1106">
        <f>$D22*L22</f>
        <v>0</v>
      </c>
      <c r="N22" s="1106">
        <f>IF(VEG_DATA!$AC316&lt;N21,VEG_DATA!$AC316, N21)</f>
        <v>0</v>
      </c>
      <c r="O22" s="1107">
        <f>IFERROR(N22/N21, 0)</f>
        <v>0</v>
      </c>
      <c r="P22" s="1106">
        <f>$D22*O22</f>
        <v>0</v>
      </c>
      <c r="Q22" s="1106">
        <f>IF(VEG_DATA!$AC317&lt;Q21,VEG_DATA!$AC317, Q21)</f>
        <v>0</v>
      </c>
      <c r="R22" s="1107">
        <f>IFERROR(Q22/Q21, 0)</f>
        <v>0</v>
      </c>
      <c r="S22" s="1106">
        <f>$D22*R22</f>
        <v>0</v>
      </c>
      <c r="T22" s="1106">
        <f>IF(VEG_DATA!$AC318&lt;T21,VEG_DATA!$AC318, T21)</f>
        <v>0</v>
      </c>
      <c r="U22" s="1107">
        <f>IFERROR(T22/T21, 0)</f>
        <v>0</v>
      </c>
      <c r="V22" s="1106">
        <f>$D22*U22</f>
        <v>0</v>
      </c>
      <c r="W22" s="1106">
        <f>IF(VEG_DATA!$AC319&lt;W21,VEG_DATA!$AC319, W21)</f>
        <v>0</v>
      </c>
      <c r="X22" s="1107">
        <f>IFERROR(W22/W21, 0)</f>
        <v>0</v>
      </c>
      <c r="Y22" s="1106">
        <f>$D22*X22</f>
        <v>0</v>
      </c>
      <c r="Z22" s="1106">
        <f>IF(VEG_DATA!$AC320&lt;Z21,VEG_DATA!$AC320, Z21)</f>
        <v>0</v>
      </c>
      <c r="AA22" s="1107">
        <f>IFERROR(Z22/Z21, 0)</f>
        <v>0</v>
      </c>
      <c r="AB22" s="1106">
        <f>$D22*AA22</f>
        <v>0</v>
      </c>
      <c r="AC22" s="1106">
        <f>IF(VEG_DATA!$AC321&lt;AC21,VEG_DATA!$AC321, AC21)</f>
        <v>0</v>
      </c>
      <c r="AD22" s="1107">
        <f>IFERROR(AC22/AC21, 0)</f>
        <v>0</v>
      </c>
      <c r="AE22" s="1106">
        <f>$D22*AD22</f>
        <v>0</v>
      </c>
      <c r="AF22" s="1106">
        <f>IF(VEG_DATA!$AC322&lt;AF21,VEG_DATA!$AC322, AF21)</f>
        <v>0</v>
      </c>
      <c r="AG22" s="1107">
        <f>IFERROR(AF22/AF21, 0)</f>
        <v>0</v>
      </c>
      <c r="AH22" s="1106">
        <f>$D22*AG22</f>
        <v>0</v>
      </c>
    </row>
    <row r="23" spans="1:35" s="3" customFormat="1" ht="18" customHeight="1" x14ac:dyDescent="0.2">
      <c r="A23" s="866"/>
      <c r="B23" s="345"/>
      <c r="C23" s="348" t="s">
        <v>440</v>
      </c>
      <c r="D23" s="1089">
        <f>+SUM(D21:D22)</f>
        <v>10</v>
      </c>
      <c r="E23" s="1087"/>
      <c r="F23" s="1087"/>
      <c r="G23" s="1088">
        <f>(SUM(G21:G22))/$D22</f>
        <v>0</v>
      </c>
      <c r="H23" s="1087"/>
      <c r="I23" s="1087"/>
      <c r="J23" s="1088">
        <f>(SUM(J21:J22))/$D22</f>
        <v>0</v>
      </c>
      <c r="K23" s="1087"/>
      <c r="L23" s="1087"/>
      <c r="M23" s="1088">
        <f>(SUM(M21:M22))/$D22</f>
        <v>0</v>
      </c>
      <c r="N23" s="1087"/>
      <c r="O23" s="1087"/>
      <c r="P23" s="1088">
        <f>(SUM(P21:P22))/$D22</f>
        <v>0</v>
      </c>
      <c r="Q23" s="1087"/>
      <c r="R23" s="1087"/>
      <c r="S23" s="1088">
        <f>(SUM(S21:S22))/$D22</f>
        <v>0</v>
      </c>
      <c r="T23" s="1087"/>
      <c r="U23" s="1087"/>
      <c r="V23" s="1088">
        <f>(SUM(V21:V22))/$D22</f>
        <v>0</v>
      </c>
      <c r="W23" s="1087"/>
      <c r="X23" s="1087"/>
      <c r="Y23" s="1088">
        <f>(SUM(Y21:Y22))/$D22</f>
        <v>0</v>
      </c>
      <c r="Z23" s="1087"/>
      <c r="AA23" s="1087"/>
      <c r="AB23" s="1088">
        <f>(SUM(AB21:AB22))/$D22</f>
        <v>0</v>
      </c>
      <c r="AC23" s="1087"/>
      <c r="AD23" s="1087"/>
      <c r="AE23" s="1088">
        <f>(SUM(AE21:AE22))/$D22</f>
        <v>0</v>
      </c>
      <c r="AF23" s="1087"/>
      <c r="AG23" s="1087"/>
      <c r="AH23" s="1088">
        <f>(SUM(AH21:AH22))/$D22</f>
        <v>0</v>
      </c>
    </row>
    <row r="24" spans="1:35" s="3" customFormat="1" ht="17.25" customHeight="1" x14ac:dyDescent="0.2">
      <c r="A24" s="1205" t="s">
        <v>7</v>
      </c>
      <c r="B24" s="1136">
        <v>3</v>
      </c>
      <c r="C24" s="1137" t="s">
        <v>704</v>
      </c>
      <c r="D24" s="1135">
        <v>1</v>
      </c>
      <c r="E24" s="1135">
        <f>IF(VEG_DATA!$CC38="",0,IF(VEG_DATA!$CC38&lt;0.6,VEG_DATA!$CC38,0.6))</f>
        <v>0</v>
      </c>
      <c r="F24" s="1135">
        <f>E24/0.6</f>
        <v>0</v>
      </c>
      <c r="G24" s="1135">
        <f>$D24*F24</f>
        <v>0</v>
      </c>
      <c r="H24" s="1135">
        <f>IF(VEG_DATA!$CC68="",0,(IF(VEG_DATA!$CC68&lt;0.6, VEG_DATA!$CC68, 0.6)))</f>
        <v>0</v>
      </c>
      <c r="I24" s="1135">
        <f>IFERROR(H24/0.6," ")</f>
        <v>0</v>
      </c>
      <c r="J24" s="1135">
        <f t="shared" ref="J24:J30" si="0">IFERROR($D24*I24," ")</f>
        <v>0</v>
      </c>
      <c r="K24" s="1135">
        <f>IF(VEG_DATA!$CC98="",0,IF(VEG_DATA!$CC98&lt;0.6, VEG_DATA!$CC98, 0.6))</f>
        <v>0</v>
      </c>
      <c r="L24" s="1135">
        <f>IFERROR(K24/0.6," ")</f>
        <v>0</v>
      </c>
      <c r="M24" s="1135">
        <f>IFERROR($D24*L24," ")</f>
        <v>0</v>
      </c>
      <c r="N24" s="1135">
        <f>IF(VEG_DATA!$CC128="",0,IF(VEG_DATA!$CC128&lt;0.6, VEG_DATA!$CC128, 0.6))</f>
        <v>0</v>
      </c>
      <c r="O24" s="1135">
        <f>IFERROR(N24/0.6," ")</f>
        <v>0</v>
      </c>
      <c r="P24" s="1135">
        <f t="shared" ref="P24:P30" si="1">IFERROR($D24*O24," ")</f>
        <v>0</v>
      </c>
      <c r="Q24" s="1135">
        <f>IF(VEG_DATA!$CC158="",0,IF(VEG_DATA!$CC158&lt;0.6,VEG_DATA!$CC158,0.6))</f>
        <v>0</v>
      </c>
      <c r="R24" s="1135">
        <f>IFERROR(Q24/0.6," ")</f>
        <v>0</v>
      </c>
      <c r="S24" s="1135">
        <f t="shared" ref="S24:S30" si="2">IFERROR($D24*R24," ")</f>
        <v>0</v>
      </c>
      <c r="T24" s="1135">
        <f>IF(VEG_DATA!$CC188="",0,IF(VEG_DATA!$CC188&lt;0.6,VEG_DATA!$CC188,0.6))</f>
        <v>0</v>
      </c>
      <c r="U24" s="1135">
        <f>IFERROR(T24/0.6," ")</f>
        <v>0</v>
      </c>
      <c r="V24" s="1135">
        <f t="shared" ref="V24:V30" si="3">IFERROR($D24*U24," ")</f>
        <v>0</v>
      </c>
      <c r="W24" s="1135">
        <f>IF(VEG_DATA!$CC218="",0,IF(VEG_DATA!$CC218&lt;0.6, VEG_DATA!$CC218, 0.6))</f>
        <v>0</v>
      </c>
      <c r="X24" s="1135">
        <f>IFERROR(W24/0.6," ")</f>
        <v>0</v>
      </c>
      <c r="Y24" s="1135">
        <f t="shared" ref="Y24:Y30" si="4">IFERROR($D24*X24," ")</f>
        <v>0</v>
      </c>
      <c r="Z24" s="1135">
        <f>IF(VEG_DATA!$CC248="",0,IF(VEG_DATA!$CC248&lt;0.6,VEG_DATA!$CC248,0.6))</f>
        <v>0</v>
      </c>
      <c r="AA24" s="1135">
        <f>IFERROR(Z24/0.6," ")</f>
        <v>0</v>
      </c>
      <c r="AB24" s="1135">
        <f t="shared" ref="AB24:AB30" si="5">IFERROR($D24*AA24," ")</f>
        <v>0</v>
      </c>
      <c r="AC24" s="1135">
        <f>IF(VEG_DATA!$CC278="",0,IF(VEG_DATA!$CC278&lt;0.6,VEG_DATA!$CC278,0.6))</f>
        <v>0</v>
      </c>
      <c r="AD24" s="1135">
        <f>IFERROR(AC24/0.6," ")</f>
        <v>0</v>
      </c>
      <c r="AE24" s="1135">
        <f t="shared" ref="AE24:AE30" si="6">IFERROR($D24*AD24," ")</f>
        <v>0</v>
      </c>
      <c r="AF24" s="1135">
        <f>IF(VEG_DATA!$CC308="",0,IF(VEG_DATA!$CC308&lt;0.6,VEG_DATA!$CC308,0.6))</f>
        <v>0</v>
      </c>
      <c r="AG24" s="1135">
        <f>IFERROR(AF24/0.6," ")</f>
        <v>0</v>
      </c>
      <c r="AH24" s="1135">
        <f t="shared" ref="AH24:AH30" si="7">IFERROR($D24*AG24," ")</f>
        <v>0</v>
      </c>
    </row>
    <row r="25" spans="1:35" ht="20.25" customHeight="1" x14ac:dyDescent="0.2">
      <c r="A25" s="1206"/>
      <c r="B25" s="1136">
        <v>4</v>
      </c>
      <c r="C25" s="1137" t="s">
        <v>703</v>
      </c>
      <c r="D25" s="1135">
        <v>2.5</v>
      </c>
      <c r="E25" s="1135">
        <f>IFERROR(IF(VEG_DATA!$CG38&lt;5,VEG_DATA!$CG38,5), " ")</f>
        <v>0</v>
      </c>
      <c r="F25" s="1135">
        <f>E25/5</f>
        <v>0</v>
      </c>
      <c r="G25" s="1135">
        <f t="shared" ref="G25:G30" si="8">$D25*F25</f>
        <v>0</v>
      </c>
      <c r="H25" s="1135">
        <f>IFERROR(IF(VEG_DATA!$CG68&lt;5,VEG_DATA!$CG68,5)," ")</f>
        <v>0</v>
      </c>
      <c r="I25" s="1135">
        <f>IFERROR(H25/5," ")</f>
        <v>0</v>
      </c>
      <c r="J25" s="1135">
        <f t="shared" si="0"/>
        <v>0</v>
      </c>
      <c r="K25" s="1135">
        <f>IFERROR(IF(VEG_DATA!$CG98&lt;5,VEG_DATA!$CG98,5)," ")</f>
        <v>0</v>
      </c>
      <c r="L25" s="1135">
        <f>IFERROR(K25/5," ")</f>
        <v>0</v>
      </c>
      <c r="M25" s="1135">
        <f>IFERROR($D25*L25," ")</f>
        <v>0</v>
      </c>
      <c r="N25" s="1135">
        <f>IFERROR(IF(VEG_DATA!$CG128&lt;5,VEG_DATA!$CG128,5),"")</f>
        <v>0</v>
      </c>
      <c r="O25" s="1135">
        <f>IFERROR(N25/5," ")</f>
        <v>0</v>
      </c>
      <c r="P25" s="1135">
        <f t="shared" si="1"/>
        <v>0</v>
      </c>
      <c r="Q25" s="1135">
        <f>IFERROR(IF(VEG_DATA!$CG158&lt;5,VEG_DATA!$CG158,5),"")</f>
        <v>0</v>
      </c>
      <c r="R25" s="1135">
        <f>IFERROR(Q25/5," ")</f>
        <v>0</v>
      </c>
      <c r="S25" s="1135">
        <f t="shared" si="2"/>
        <v>0</v>
      </c>
      <c r="T25" s="1135">
        <f>IFERROR(IF(VEG_DATA!$CG188&lt;5,VEG_DATA!$CG188,5),"")</f>
        <v>0</v>
      </c>
      <c r="U25" s="1135">
        <f>IFERROR(T25/5," ")</f>
        <v>0</v>
      </c>
      <c r="V25" s="1135">
        <f t="shared" si="3"/>
        <v>0</v>
      </c>
      <c r="W25" s="1135">
        <f>IFERROR(IF(VEG_DATA!$CG218&lt;5,VEG_DATA!$CG218,5),"")</f>
        <v>0</v>
      </c>
      <c r="X25" s="1135">
        <f>IFERROR(W25/5," ")</f>
        <v>0</v>
      </c>
      <c r="Y25" s="1135">
        <f t="shared" si="4"/>
        <v>0</v>
      </c>
      <c r="Z25" s="1135">
        <f>IFERROR(IF(VEG_DATA!$CG248&lt;5,VEG_DATA!$CG248,5),"")</f>
        <v>0</v>
      </c>
      <c r="AA25" s="1135">
        <f>IFERROR(Z25/5," ")</f>
        <v>0</v>
      </c>
      <c r="AB25" s="1135">
        <f t="shared" si="5"/>
        <v>0</v>
      </c>
      <c r="AC25" s="1135">
        <f>IFERROR(IF(VEG_DATA!$CG278&lt;5,VEG_DATA!$CG278,5),"")</f>
        <v>0</v>
      </c>
      <c r="AD25" s="1135">
        <f>IFERROR(AC25/5," ")</f>
        <v>0</v>
      </c>
      <c r="AE25" s="1135">
        <f t="shared" si="6"/>
        <v>0</v>
      </c>
      <c r="AF25" s="1135">
        <f>IFERROR(IF(VEG_DATA!$CG308&lt;5,VEG_DATA!$CG308,5),"")</f>
        <v>0</v>
      </c>
      <c r="AG25" s="1135">
        <f>IFERROR(AF25/5," ")</f>
        <v>0</v>
      </c>
      <c r="AH25" s="1135">
        <f t="shared" si="7"/>
        <v>0</v>
      </c>
    </row>
    <row r="26" spans="1:35" s="1083" customFormat="1" ht="17.25" customHeight="1" x14ac:dyDescent="0.2">
      <c r="A26" s="1206"/>
      <c r="B26" s="1138">
        <v>5</v>
      </c>
      <c r="C26" s="1139" t="s">
        <v>8</v>
      </c>
      <c r="D26" s="1135">
        <v>2</v>
      </c>
      <c r="E26" s="1135">
        <f>IF(VEG_DATA!$CD38="",0,IF(VEG_DATA!$CD38&lt;0.5,VEG_DATA!$CD38,0.5))</f>
        <v>0</v>
      </c>
      <c r="F26" s="1135">
        <f>IF(E26="",0,IF(E26/0.6&gt;1, 1, E26/0.6))</f>
        <v>0</v>
      </c>
      <c r="G26" s="1135">
        <f t="shared" si="8"/>
        <v>0</v>
      </c>
      <c r="H26" s="1135">
        <f>IF(VEG_DATA!$CD68="",0,(IF(VEG_DATA!$CD68&lt;0.5,VEG_DATA!$CD68,0.5)))</f>
        <v>0</v>
      </c>
      <c r="I26" s="1135">
        <f>IF(H26="",0,IF(H26/0.6&gt;1, 1, H26/0.6))</f>
        <v>0</v>
      </c>
      <c r="J26" s="1135">
        <f t="shared" si="0"/>
        <v>0</v>
      </c>
      <c r="K26" s="1135">
        <f>IF(VEG_DATA!$CD98="",0,(IF(VEG_DATA!$CD98&lt;0.5,VEG_DATA!$CD98,0.5)))</f>
        <v>0</v>
      </c>
      <c r="L26" s="1135">
        <f>IF(K26="",0,IF(K26/0.6&gt;1, 1, K26/0.6))</f>
        <v>0</v>
      </c>
      <c r="M26" s="1135">
        <f>IFERROR($D26*L26," ")</f>
        <v>0</v>
      </c>
      <c r="N26" s="1135">
        <f>IF(VEG_DATA!$CD128="",0,(IF(VEG_DATA!$CD128&lt;0.5,VEG_DATA!$CD128,0.5)))</f>
        <v>0</v>
      </c>
      <c r="O26" s="1135">
        <f>IF(N26="",0,IF(N26/0.6&gt;1, 1, N26/0.6))</f>
        <v>0</v>
      </c>
      <c r="P26" s="1135">
        <f t="shared" si="1"/>
        <v>0</v>
      </c>
      <c r="Q26" s="1135">
        <f>IF(VEG_DATA!$CD158="",0,(IF(VEG_DATA!$CD158&lt;0.5,VEG_DATA!$CD158,0.5)))</f>
        <v>0</v>
      </c>
      <c r="R26" s="1135">
        <f>IF(Q26="",0,IF(Q26/0.6&gt;1, 1, Q26/0.6))</f>
        <v>0</v>
      </c>
      <c r="S26" s="1135">
        <f t="shared" si="2"/>
        <v>0</v>
      </c>
      <c r="T26" s="1135">
        <f>IF(VEG_DATA!$CD188="",0,IF(VEG_DATA!$CD188&lt;0.5,VEG_DATA!$CD188,0.5))</f>
        <v>0</v>
      </c>
      <c r="U26" s="1135">
        <f>IF(T26="",0,IF(T26/0.6&gt;1, 1, T26/0.6))</f>
        <v>0</v>
      </c>
      <c r="V26" s="1135">
        <f t="shared" si="3"/>
        <v>0</v>
      </c>
      <c r="W26" s="1135">
        <f>IF(VEG_DATA!$CD218="",0,(IF(VEG_DATA!$CD218&lt;0.5,VEG_DATA!$CD218,0.5)))</f>
        <v>0</v>
      </c>
      <c r="X26" s="1135">
        <f>IF(W26="",0,IF(W26/0.6&gt;1, 1, W26/0.6))</f>
        <v>0</v>
      </c>
      <c r="Y26" s="1135">
        <f t="shared" si="4"/>
        <v>0</v>
      </c>
      <c r="Z26" s="1135">
        <f>IF(VEG_DATA!$CD248="",0,(IF(VEG_DATA!$CD248&lt;0.5,VEG_DATA!$CD248,0.5)))</f>
        <v>0</v>
      </c>
      <c r="AA26" s="1135">
        <f>IF(Z26="",0,IF(Z26/0.6&gt;1, 1, Z26/0.6))</f>
        <v>0</v>
      </c>
      <c r="AB26" s="1135">
        <f t="shared" si="5"/>
        <v>0</v>
      </c>
      <c r="AC26" s="1135">
        <f>IF(VEG_DATA!$CD278="",0,(IF(VEG_DATA!$CD278&lt;0.5,VEG_DATA!$CD278,0.5)))</f>
        <v>0</v>
      </c>
      <c r="AD26" s="1135">
        <f>IF(AC26="",0,IF(AC26/0.6&gt;1, 1, AC26/0.6))</f>
        <v>0</v>
      </c>
      <c r="AE26" s="1135">
        <f t="shared" si="6"/>
        <v>0</v>
      </c>
      <c r="AF26" s="1135">
        <f>IF(VEG_DATA!$CD308="",0,(IF(VEG_DATA!$CD308&lt;0.5,VEG_DATA!$CD308,0.5)))</f>
        <v>0</v>
      </c>
      <c r="AG26" s="1135">
        <f>IF(AF26="",0,IF(AF26/0.6&gt;1, 1, AF26/0.6))</f>
        <v>0</v>
      </c>
      <c r="AH26" s="1135">
        <f t="shared" si="7"/>
        <v>0</v>
      </c>
    </row>
    <row r="27" spans="1:35" ht="17.25" customHeight="1" x14ac:dyDescent="0.2">
      <c r="A27" s="1206"/>
      <c r="B27" s="1136">
        <v>6</v>
      </c>
      <c r="C27" s="1137" t="s">
        <v>33</v>
      </c>
      <c r="D27" s="1135">
        <v>2.5</v>
      </c>
      <c r="E27" s="1135">
        <f>IFERROR(IF(VEG_DATA!$CH38&lt;5,VEG_DATA!$CH38,5)," ")</f>
        <v>0</v>
      </c>
      <c r="F27" s="1135">
        <f>E27/5</f>
        <v>0</v>
      </c>
      <c r="G27" s="1135">
        <f t="shared" si="8"/>
        <v>0</v>
      </c>
      <c r="H27" s="1135">
        <f>IFERROR(IF(VEG_DATA!$CH68&lt;5,VEG_DATA!$CH68,5)," ")</f>
        <v>0</v>
      </c>
      <c r="I27" s="1135">
        <f>IFERROR(H27/5," ")</f>
        <v>0</v>
      </c>
      <c r="J27" s="1135">
        <f t="shared" si="0"/>
        <v>0</v>
      </c>
      <c r="K27" s="1135">
        <f>IFERROR(IF(VEG_DATA!$CH98&lt;5,VEG_DATA!$CH98,5)," ")</f>
        <v>0</v>
      </c>
      <c r="L27" s="1135">
        <f>IFERROR(K27/5, " ")</f>
        <v>0</v>
      </c>
      <c r="M27" s="1135">
        <f>IFERROR($D27*L27," ")</f>
        <v>0</v>
      </c>
      <c r="N27" s="1135">
        <f>IFERROR(IF(VEG_DATA!$CH128&lt;5,VEG_DATA!$CH128,5)," ")</f>
        <v>0</v>
      </c>
      <c r="O27" s="1135">
        <f>IFERROR(N27/5," ")</f>
        <v>0</v>
      </c>
      <c r="P27" s="1135">
        <f t="shared" si="1"/>
        <v>0</v>
      </c>
      <c r="Q27" s="1135">
        <f>IFERROR(IF(VEG_DATA!$CH158&lt;5,VEG_DATA!$CH158,5)," ")</f>
        <v>0</v>
      </c>
      <c r="R27" s="1135">
        <f>IFERROR(Q27/5," ")</f>
        <v>0</v>
      </c>
      <c r="S27" s="1135">
        <f t="shared" si="2"/>
        <v>0</v>
      </c>
      <c r="T27" s="1135">
        <f>IFERROR(IF(VEG_DATA!$CH188&lt;5,VEG_DATA!$CH188,5)," ")</f>
        <v>0</v>
      </c>
      <c r="U27" s="1135">
        <f>IFERROR(T27/5," ")</f>
        <v>0</v>
      </c>
      <c r="V27" s="1135">
        <f t="shared" si="3"/>
        <v>0</v>
      </c>
      <c r="W27" s="1135">
        <f>IFERROR(IF(VEG_DATA!$CH218&lt;5,VEG_DATA!$CH218,5)," ")</f>
        <v>0</v>
      </c>
      <c r="X27" s="1135">
        <f>IFERROR(W27/5," ")</f>
        <v>0</v>
      </c>
      <c r="Y27" s="1135">
        <f t="shared" si="4"/>
        <v>0</v>
      </c>
      <c r="Z27" s="1135">
        <f>IFERROR(IF(VEG_DATA!$CH248&lt;5,VEG_DATA!$CH248,5)," ")</f>
        <v>0</v>
      </c>
      <c r="AA27" s="1135">
        <f>IFERROR(Z27/5," ")</f>
        <v>0</v>
      </c>
      <c r="AB27" s="1135">
        <f t="shared" si="5"/>
        <v>0</v>
      </c>
      <c r="AC27" s="1135">
        <f>IF(VEG_DATA!$CH278="","",IF(VEG_DATA!$CH278&lt;5,VEG_DATA!$CH278,5))</f>
        <v>0</v>
      </c>
      <c r="AD27" s="1135">
        <f>IFERROR(AC27/5," ")</f>
        <v>0</v>
      </c>
      <c r="AE27" s="1135">
        <f t="shared" si="6"/>
        <v>0</v>
      </c>
      <c r="AF27" s="1135">
        <f>IFERROR(IF(VEG_DATA!$CH308&lt;5,VEG_DATA!$CH308,5)," ")</f>
        <v>0</v>
      </c>
      <c r="AG27" s="1135">
        <f>IFERROR(AF27/5," ")</f>
        <v>0</v>
      </c>
      <c r="AH27" s="1135">
        <f t="shared" si="7"/>
        <v>0</v>
      </c>
      <c r="AI27" s="77"/>
    </row>
    <row r="28" spans="1:35" s="1083" customFormat="1" ht="17.25" customHeight="1" x14ac:dyDescent="0.2">
      <c r="A28" s="1206"/>
      <c r="B28" s="1138">
        <v>7</v>
      </c>
      <c r="C28" s="1137" t="s">
        <v>12</v>
      </c>
      <c r="D28" s="1135">
        <v>3</v>
      </c>
      <c r="E28" s="1135">
        <f>IFERROR(IF(VEG_DATA!$CE38="",0,(IF(VEG_DATA!$CE38&lt;0.5,VEG_DATA!$CE38,0.5))),"")</f>
        <v>0</v>
      </c>
      <c r="F28" s="1135">
        <f>IFERROR(E28/0.6,"")</f>
        <v>0</v>
      </c>
      <c r="G28" s="1135">
        <f>IFERROR($D28*F28,"")</f>
        <v>0</v>
      </c>
      <c r="H28" s="1135">
        <f>IFERROR(IF(VEG_DATA!$CE68="",0,(IF(VEG_DATA!$CE68&lt;0.5,VEG_DATA!$CE68,0.5))),"")</f>
        <v>0</v>
      </c>
      <c r="I28" s="1135">
        <f>IFERROR(H28/0.6, " ")</f>
        <v>0</v>
      </c>
      <c r="J28" s="1135">
        <f t="shared" si="0"/>
        <v>0</v>
      </c>
      <c r="K28" s="1135">
        <f>IFERROR(IF(VEG_DATA!$CE98="",0,(IF(VEG_DATA!$CE98&lt;0.5,VEG_DATA!$CE98,0.5))),"")</f>
        <v>0</v>
      </c>
      <c r="L28" s="1135">
        <f>IFERROR(K28/0.6," ")</f>
        <v>0</v>
      </c>
      <c r="M28" s="1135">
        <f>IFERROR($D28*L28," ")</f>
        <v>0</v>
      </c>
      <c r="N28" s="1135">
        <f>IFERROR(IF(VEG_DATA!$CE128="",0,(IF(VEG_DATA!$CE128&lt;0.5,VEG_DATA!$CE128,0.5))),"")</f>
        <v>0</v>
      </c>
      <c r="O28" s="1135">
        <f>IFERROR(N28/0.6, " ")</f>
        <v>0</v>
      </c>
      <c r="P28" s="1135">
        <f t="shared" si="1"/>
        <v>0</v>
      </c>
      <c r="Q28" s="1135">
        <f>IFERROR(IF(VEG_DATA!$CE158="",0,(IF(VEG_DATA!$CE158&lt;0.5,VEG_DATA!$CE158,0.5))),"")</f>
        <v>0</v>
      </c>
      <c r="R28" s="1135">
        <f>IFERROR(Q28/0.6, " ")</f>
        <v>0</v>
      </c>
      <c r="S28" s="1135">
        <f t="shared" si="2"/>
        <v>0</v>
      </c>
      <c r="T28" s="1135">
        <f>IFERROR(IF(VEG_DATA!$CE188="",0,(IF(VEG_DATA!$CE188&lt;0.5,VEG_DATA!$CE188,0.5))),"")</f>
        <v>0</v>
      </c>
      <c r="U28" s="1135">
        <f>IFERROR(T28/0.6, " ")</f>
        <v>0</v>
      </c>
      <c r="V28" s="1135">
        <f t="shared" si="3"/>
        <v>0</v>
      </c>
      <c r="W28" s="1135">
        <f>IFERROR(IF(VEG_DATA!$CE218="",0,(IF(VEG_DATA!$CE218&lt;0.5,VEG_DATA!$CE218,0.5))),"")</f>
        <v>0</v>
      </c>
      <c r="X28" s="1135">
        <f>IFERROR(W28/0.6, " ")</f>
        <v>0</v>
      </c>
      <c r="Y28" s="1135">
        <f t="shared" si="4"/>
        <v>0</v>
      </c>
      <c r="Z28" s="1135">
        <f>IFERROR(IF(VEG_DATA!$CE248="",0,(IF(VEG_DATA!$CE248&lt;0.5,VEG_DATA!$CE248,0.5))),"")</f>
        <v>0</v>
      </c>
      <c r="AA28" s="1135">
        <f>IFERROR(Z28/0.6, " ")</f>
        <v>0</v>
      </c>
      <c r="AB28" s="1135">
        <f t="shared" si="5"/>
        <v>0</v>
      </c>
      <c r="AC28" s="1135">
        <f>(IF(VEG_DATA!$CE278="",0,(IF(VEG_DATA!$CE278&lt;0.5,VEG_DATA!$CE278,0.5))))</f>
        <v>0</v>
      </c>
      <c r="AD28" s="1135">
        <f>IFERROR(AC28/0.6, " ")</f>
        <v>0</v>
      </c>
      <c r="AE28" s="1135">
        <f t="shared" si="6"/>
        <v>0</v>
      </c>
      <c r="AF28" s="1135">
        <f>(IF(VEG_DATA!$CE278="",0,(IF(VEG_DATA!$CE308="","",(IF(VEG_DATA!$CE308&lt;0.5,VEG_DATA!$CE308,0.5))))))</f>
        <v>0</v>
      </c>
      <c r="AG28" s="1135">
        <f>IFERROR(AF28/0.6, " ")</f>
        <v>0</v>
      </c>
      <c r="AH28" s="1135">
        <f t="shared" si="7"/>
        <v>0</v>
      </c>
    </row>
    <row r="29" spans="1:35" ht="17.25" customHeight="1" x14ac:dyDescent="0.2">
      <c r="A29" s="1206"/>
      <c r="B29" s="1136">
        <v>8</v>
      </c>
      <c r="C29" s="1137" t="s">
        <v>705</v>
      </c>
      <c r="D29" s="1135">
        <v>1.5</v>
      </c>
      <c r="E29" s="1135" t="str">
        <f>IFERROR(VEG_DATA!H38," ")</f>
        <v/>
      </c>
      <c r="F29" s="1135" t="str">
        <f>IFERROR(E29/3,"")</f>
        <v/>
      </c>
      <c r="G29" s="1135" t="str">
        <f>IFERROR($D29*F29,"")</f>
        <v/>
      </c>
      <c r="H29" s="1135" t="str">
        <f>IFERROR(VEG_DATA!$H68," ")</f>
        <v/>
      </c>
      <c r="I29" s="1135" t="str">
        <f>IFERROR(H29/3," ")</f>
        <v xml:space="preserve"> </v>
      </c>
      <c r="J29" s="1135" t="str">
        <f t="shared" si="0"/>
        <v xml:space="preserve"> </v>
      </c>
      <c r="K29" s="1135" t="str">
        <f>IFERROR(VEG_DATA!$H98," ")</f>
        <v/>
      </c>
      <c r="L29" s="1135" t="str">
        <f>IFERROR(K29/3," ")</f>
        <v xml:space="preserve"> </v>
      </c>
      <c r="M29" s="1135" t="str">
        <f>IFERROR($D29*L29,"")</f>
        <v/>
      </c>
      <c r="N29" s="1135" t="str">
        <f>IFERROR(VEG_DATA!$H128,"")</f>
        <v/>
      </c>
      <c r="O29" s="1135" t="str">
        <f>IFERROR(N29/3," ")</f>
        <v xml:space="preserve"> </v>
      </c>
      <c r="P29" s="1135" t="str">
        <f t="shared" si="1"/>
        <v xml:space="preserve"> </v>
      </c>
      <c r="Q29" s="1135" t="str">
        <f>IFERROR(VEG_DATA!$H158,"")</f>
        <v/>
      </c>
      <c r="R29" s="1135" t="str">
        <f>IFERROR(Q29/3," ")</f>
        <v xml:space="preserve"> </v>
      </c>
      <c r="S29" s="1135" t="str">
        <f t="shared" si="2"/>
        <v xml:space="preserve"> </v>
      </c>
      <c r="T29" s="1135" t="str">
        <f>IFERROR(VEG_DATA!$H188,"")</f>
        <v/>
      </c>
      <c r="U29" s="1135" t="str">
        <f>IFERROR(T29/3," ")</f>
        <v xml:space="preserve"> </v>
      </c>
      <c r="V29" s="1135" t="str">
        <f t="shared" si="3"/>
        <v xml:space="preserve"> </v>
      </c>
      <c r="W29" s="1135" t="str">
        <f>IFERROR(VEG_DATA!$H218,"")</f>
        <v/>
      </c>
      <c r="X29" s="1135" t="str">
        <f>IFERROR(W29/3," ")</f>
        <v xml:space="preserve"> </v>
      </c>
      <c r="Y29" s="1135" t="str">
        <f t="shared" si="4"/>
        <v xml:space="preserve"> </v>
      </c>
      <c r="Z29" s="1135" t="str">
        <f>IFERROR(VEG_DATA!$H248,"")</f>
        <v/>
      </c>
      <c r="AA29" s="1135" t="str">
        <f>IFERROR(Z29/3," ")</f>
        <v xml:space="preserve"> </v>
      </c>
      <c r="AB29" s="1135" t="str">
        <f t="shared" si="5"/>
        <v xml:space="preserve"> </v>
      </c>
      <c r="AC29" s="1135" t="str">
        <f>IFERROR(VEG_DATA!$H278,"")</f>
        <v/>
      </c>
      <c r="AD29" s="1135" t="str">
        <f>IFERROR(AC29/3," ")</f>
        <v xml:space="preserve"> </v>
      </c>
      <c r="AE29" s="1135" t="str">
        <f t="shared" si="6"/>
        <v xml:space="preserve"> </v>
      </c>
      <c r="AF29" s="1135" t="str">
        <f>IFERROR(VEG_DATA!$H308,"")</f>
        <v/>
      </c>
      <c r="AG29" s="1135" t="str">
        <f>IFERROR(AF29/3," ")</f>
        <v xml:space="preserve"> </v>
      </c>
      <c r="AH29" s="1135" t="str">
        <f t="shared" si="7"/>
        <v xml:space="preserve"> </v>
      </c>
    </row>
    <row r="30" spans="1:35" ht="24" customHeight="1" x14ac:dyDescent="0.2">
      <c r="A30" s="1206"/>
      <c r="B30" s="1136">
        <v>9</v>
      </c>
      <c r="C30" s="1137" t="s">
        <v>50</v>
      </c>
      <c r="D30" s="1135">
        <v>3</v>
      </c>
      <c r="E30" s="1135">
        <f>IF(VEG_DATA!$Q313="",0,(IF(VEG_DATA!$Q313&lt;0.8,VEG_DATA!$Q313,0.8)))</f>
        <v>0</v>
      </c>
      <c r="F30" s="1135">
        <f>E30/0.8</f>
        <v>0</v>
      </c>
      <c r="G30" s="1135">
        <f t="shared" si="8"/>
        <v>0</v>
      </c>
      <c r="H30" s="1135">
        <f>IF(VEG_DATA!$Q314="",0,(IF(VEG_DATA!$Q314&lt;0.8,VEG_DATA!$Q314,0.8)))</f>
        <v>0</v>
      </c>
      <c r="I30" s="1135">
        <f>IFERROR(H30/0.8," ")</f>
        <v>0</v>
      </c>
      <c r="J30" s="1135">
        <f t="shared" si="0"/>
        <v>0</v>
      </c>
      <c r="K30" s="1135">
        <f>IF(VEG_DATA!$Q315="",0,(IF(VEG_DATA!$Q315&lt;0.8,VEG_DATA!$Q315,0.8)))</f>
        <v>0</v>
      </c>
      <c r="L30" s="1135">
        <f>IFERROR(K30/0.8," ")</f>
        <v>0</v>
      </c>
      <c r="M30" s="1135">
        <f>IFERROR($D30*L30,"")</f>
        <v>0</v>
      </c>
      <c r="N30" s="1135">
        <f>IF(VEG_DATA!$Q316="",0,(IF(VEG_DATA!$Q316&lt;0.8,VEG_DATA!$Q316,0.8)))</f>
        <v>0</v>
      </c>
      <c r="O30" s="1135">
        <f>IFERROR(N30/0.8," ")</f>
        <v>0</v>
      </c>
      <c r="P30" s="1135">
        <f t="shared" si="1"/>
        <v>0</v>
      </c>
      <c r="Q30" s="1135">
        <f>IF(VEG_DATA!$Q317="",0,(IF(VEG_DATA!$Q317&lt;0.8,VEG_DATA!$Q317,0.8)))</f>
        <v>0</v>
      </c>
      <c r="R30" s="1135">
        <f>IFERROR(Q30/0.8," ")</f>
        <v>0</v>
      </c>
      <c r="S30" s="1135">
        <f t="shared" si="2"/>
        <v>0</v>
      </c>
      <c r="T30" s="1135">
        <f>IF(VEG_DATA!$Q318="",0,(IF(VEG_DATA!$Q318&lt;0.8,VEG_DATA!$Q318,0.8)))</f>
        <v>0</v>
      </c>
      <c r="U30" s="1135">
        <f>IFERROR(T30/0.8," ")</f>
        <v>0</v>
      </c>
      <c r="V30" s="1135">
        <f t="shared" si="3"/>
        <v>0</v>
      </c>
      <c r="W30" s="1135">
        <f>IF(VEG_DATA!$Q319="",0,(IF(VEG_DATA!$Q319&lt;0.8,VEG_DATA!$Q319,0.8)))</f>
        <v>0</v>
      </c>
      <c r="X30" s="1135">
        <f>IFERROR(W30/0.8," ")</f>
        <v>0</v>
      </c>
      <c r="Y30" s="1135">
        <f t="shared" si="4"/>
        <v>0</v>
      </c>
      <c r="Z30" s="1135">
        <f>IF(VEG_DATA!$Q320="",0,(IF(VEG_DATA!$Q320&lt;0.8,VEG_DATA!$Q320,0.8)))</f>
        <v>0</v>
      </c>
      <c r="AA30" s="1135">
        <f>IFERROR(Z30/0.8," ")</f>
        <v>0</v>
      </c>
      <c r="AB30" s="1135">
        <f t="shared" si="5"/>
        <v>0</v>
      </c>
      <c r="AC30" s="1135">
        <f>IF(VEG_DATA!$Q321="",0,(IF(VEG_DATA!$Q321&lt;0.8,VEG_DATA!$Q321,0.8)))</f>
        <v>0</v>
      </c>
      <c r="AD30" s="1135">
        <f>IFERROR(AC30/0.8," ")</f>
        <v>0</v>
      </c>
      <c r="AE30" s="1135">
        <f t="shared" si="6"/>
        <v>0</v>
      </c>
      <c r="AF30" s="1135">
        <f>IF(VEG_DATA!$Q322="",0,(IF(VEG_DATA!$Q322&lt;0.8,VEG_DATA!$Q322,0.8)))</f>
        <v>0</v>
      </c>
      <c r="AG30" s="1135">
        <f>IFERROR(AF30/0.8," ")</f>
        <v>0</v>
      </c>
      <c r="AH30" s="1135">
        <f t="shared" si="7"/>
        <v>0</v>
      </c>
    </row>
    <row r="31" spans="1:35" ht="17.25" customHeight="1" x14ac:dyDescent="0.2">
      <c r="A31" s="1207"/>
      <c r="B31" s="1140" t="s">
        <v>13</v>
      </c>
      <c r="C31" s="1141"/>
      <c r="D31" s="1142">
        <f>+SUM(D24:D30)</f>
        <v>15.5</v>
      </c>
      <c r="E31" s="1135"/>
      <c r="F31" s="1135"/>
      <c r="G31" s="1143">
        <f>+SUM(G24:G30)/$D31</f>
        <v>0</v>
      </c>
      <c r="H31" s="1135"/>
      <c r="I31" s="1135"/>
      <c r="J31" s="1143">
        <f>+SUM(J24:J30)/$D31</f>
        <v>0</v>
      </c>
      <c r="K31" s="1135"/>
      <c r="L31" s="1135"/>
      <c r="M31" s="1143">
        <f>+SUM(M24:M30)/$D31</f>
        <v>0</v>
      </c>
      <c r="N31" s="1135"/>
      <c r="O31" s="1135"/>
      <c r="P31" s="1143">
        <f>+SUM(P24:P30)/$D31</f>
        <v>0</v>
      </c>
      <c r="Q31" s="1135"/>
      <c r="R31" s="1135"/>
      <c r="S31" s="1143">
        <f>+SUM(S24:S30)/$D31</f>
        <v>0</v>
      </c>
      <c r="T31" s="1135"/>
      <c r="U31" s="1135"/>
      <c r="V31" s="1143">
        <f>+SUM(V24:V30)/$D31</f>
        <v>0</v>
      </c>
      <c r="W31" s="1135"/>
      <c r="X31" s="1135"/>
      <c r="Y31" s="1143">
        <f>+SUM(Y24:Y30)/$D31</f>
        <v>0</v>
      </c>
      <c r="Z31" s="1135"/>
      <c r="AA31" s="1135"/>
      <c r="AB31" s="1143">
        <f>+SUM(AB24:AB30)/$D31</f>
        <v>0</v>
      </c>
      <c r="AC31" s="1135"/>
      <c r="AD31" s="1135"/>
      <c r="AE31" s="1143">
        <f>+SUM(AE24:AE30)/$D31</f>
        <v>0</v>
      </c>
      <c r="AF31" s="1135"/>
      <c r="AG31" s="1135"/>
      <c r="AH31" s="1143">
        <f>+SUM(AH24:AH30)/$D31</f>
        <v>0</v>
      </c>
    </row>
    <row r="32" spans="1:35" ht="21" customHeight="1" x14ac:dyDescent="0.2">
      <c r="A32" s="1219" t="s">
        <v>120</v>
      </c>
      <c r="B32" s="349">
        <v>10</v>
      </c>
      <c r="C32" s="350" t="s">
        <v>706</v>
      </c>
      <c r="D32" s="1090">
        <v>2</v>
      </c>
      <c r="E32" s="1091">
        <f>Bird_Field!$E7</f>
        <v>0</v>
      </c>
      <c r="F32" s="1108">
        <f>E32/100</f>
        <v>0</v>
      </c>
      <c r="G32" s="1108">
        <f>$D32*F32</f>
        <v>0</v>
      </c>
      <c r="H32" s="1091">
        <f>Bird_Field!$F7</f>
        <v>0</v>
      </c>
      <c r="I32" s="1108">
        <f>H32/100</f>
        <v>0</v>
      </c>
      <c r="J32" s="1108">
        <f>$D32*I32</f>
        <v>0</v>
      </c>
      <c r="K32" s="1091">
        <f>Bird_Field!$G7</f>
        <v>0</v>
      </c>
      <c r="L32" s="1108">
        <f>K32/100</f>
        <v>0</v>
      </c>
      <c r="M32" s="1108">
        <f>$D32*L32</f>
        <v>0</v>
      </c>
      <c r="N32" s="1091">
        <f>Bird_Field!$H7</f>
        <v>0</v>
      </c>
      <c r="O32" s="1108">
        <f>N32/100</f>
        <v>0</v>
      </c>
      <c r="P32" s="1108">
        <f>$D32*O32</f>
        <v>0</v>
      </c>
      <c r="Q32" s="1092">
        <f>Bird_Field!$I7</f>
        <v>0</v>
      </c>
      <c r="R32" s="1108">
        <f>Q32/100</f>
        <v>0</v>
      </c>
      <c r="S32" s="1108">
        <f>$D32*R32</f>
        <v>0</v>
      </c>
      <c r="T32" s="1092">
        <f>Bird_Field!$J7</f>
        <v>0</v>
      </c>
      <c r="U32" s="1108">
        <f>T32/100</f>
        <v>0</v>
      </c>
      <c r="V32" s="1108">
        <f>$D32*U32</f>
        <v>0</v>
      </c>
      <c r="W32" s="1092">
        <f>Bird_Field!$K7</f>
        <v>0</v>
      </c>
      <c r="X32" s="1108">
        <f>W32/100</f>
        <v>0</v>
      </c>
      <c r="Y32" s="1108">
        <f>$D32*X32</f>
        <v>0</v>
      </c>
      <c r="Z32" s="1092">
        <f>Bird_Field!$L7</f>
        <v>0</v>
      </c>
      <c r="AA32" s="1108">
        <f>Z32/100</f>
        <v>0</v>
      </c>
      <c r="AB32" s="1108">
        <f>$D32*AA32</f>
        <v>0</v>
      </c>
      <c r="AC32" s="1092">
        <f>Bird_Field!$M7</f>
        <v>0</v>
      </c>
      <c r="AD32" s="1108">
        <f>AC32/100</f>
        <v>0</v>
      </c>
      <c r="AE32" s="1108">
        <f>$D32*AD32</f>
        <v>0</v>
      </c>
      <c r="AF32" s="1092">
        <f>Bird_Field!$N7</f>
        <v>0</v>
      </c>
      <c r="AG32" s="1108">
        <f>AF32/100</f>
        <v>0</v>
      </c>
      <c r="AH32" s="1108">
        <f>$D32*AG32</f>
        <v>0</v>
      </c>
    </row>
    <row r="33" spans="1:34" s="3" customFormat="1" ht="21" customHeight="1" x14ac:dyDescent="0.2">
      <c r="A33" s="1219"/>
      <c r="B33" s="349">
        <v>11</v>
      </c>
      <c r="C33" s="350" t="s">
        <v>714</v>
      </c>
      <c r="D33" s="1090">
        <v>2</v>
      </c>
      <c r="E33" s="1091" t="str">
        <f>VEG_DATA!$O313</f>
        <v/>
      </c>
      <c r="F33" s="1091">
        <f>IF(E33="d",1,0)</f>
        <v>0</v>
      </c>
      <c r="G33" s="1091">
        <f t="shared" ref="G33:G39" si="9">$D33*F33</f>
        <v>0</v>
      </c>
      <c r="H33" s="1091" t="str">
        <f>VEG_DATA!$O314</f>
        <v/>
      </c>
      <c r="I33" s="1091">
        <f>IF(H33="d",1,0)</f>
        <v>0</v>
      </c>
      <c r="J33" s="1091">
        <f t="shared" ref="J33:J39" si="10">$D33*I33</f>
        <v>0</v>
      </c>
      <c r="K33" s="1091" t="str">
        <f>VEG_DATA!$O315</f>
        <v/>
      </c>
      <c r="L33" s="1091">
        <f>IF(K33="d",1,0)</f>
        <v>0</v>
      </c>
      <c r="M33" s="1091">
        <f t="shared" ref="M33:M39" si="11">$D33*L33</f>
        <v>0</v>
      </c>
      <c r="N33" s="1091" t="str">
        <f>VEG_DATA!$O316</f>
        <v/>
      </c>
      <c r="O33" s="1091">
        <f>IF(N33="d",1,0)</f>
        <v>0</v>
      </c>
      <c r="P33" s="1091">
        <f t="shared" ref="P33:P39" si="12">$D33*O33</f>
        <v>0</v>
      </c>
      <c r="Q33" s="1091" t="str">
        <f>VEG_DATA!$O317</f>
        <v/>
      </c>
      <c r="R33" s="1091">
        <f>IF(Q33="d",1,0)</f>
        <v>0</v>
      </c>
      <c r="S33" s="1091">
        <f t="shared" ref="S33:S39" si="13">$D33*R33</f>
        <v>0</v>
      </c>
      <c r="T33" s="1091" t="str">
        <f>VEG_DATA!$O318</f>
        <v/>
      </c>
      <c r="U33" s="1091">
        <f>IF(T33="d",1,0)</f>
        <v>0</v>
      </c>
      <c r="V33" s="1091">
        <f t="shared" ref="V33:V39" si="14">$D33*U33</f>
        <v>0</v>
      </c>
      <c r="W33" s="1091" t="str">
        <f>VEG_DATA!$O319</f>
        <v/>
      </c>
      <c r="X33" s="1091">
        <f>IF(W33="d",1,0)</f>
        <v>0</v>
      </c>
      <c r="Y33" s="1091">
        <f t="shared" ref="Y33:Y39" si="15">$D33*X33</f>
        <v>0</v>
      </c>
      <c r="Z33" s="1091" t="str">
        <f>VEG_DATA!$O320</f>
        <v/>
      </c>
      <c r="AA33" s="1091">
        <f>IF(Z33="d",1,0)</f>
        <v>0</v>
      </c>
      <c r="AB33" s="1091">
        <f t="shared" ref="AB33:AB39" si="16">$D33*AA33</f>
        <v>0</v>
      </c>
      <c r="AC33" s="1091" t="str">
        <f>VEG_DATA!$O321</f>
        <v/>
      </c>
      <c r="AD33" s="1091">
        <f>IF(AC33="d",1,0)</f>
        <v>0</v>
      </c>
      <c r="AE33" s="1091">
        <f t="shared" ref="AE33:AE39" si="17">$D33*AD33</f>
        <v>0</v>
      </c>
      <c r="AF33" s="1091" t="str">
        <f>VEG_DATA!$O322</f>
        <v/>
      </c>
      <c r="AG33" s="1091">
        <f>IF(AF33="d",1,0)</f>
        <v>0</v>
      </c>
      <c r="AH33" s="1091">
        <f t="shared" ref="AH33:AH39" si="18">$D33*AG33</f>
        <v>0</v>
      </c>
    </row>
    <row r="34" spans="1:34" ht="21" customHeight="1" x14ac:dyDescent="0.2">
      <c r="A34" s="1219"/>
      <c r="B34" s="349">
        <v>12</v>
      </c>
      <c r="C34" s="350" t="s">
        <v>698</v>
      </c>
      <c r="D34" s="1090">
        <f>IF(E34=0,0,1.5)</f>
        <v>0</v>
      </c>
      <c r="E34" s="1091">
        <f>Bird_Field!$E8</f>
        <v>0</v>
      </c>
      <c r="F34" s="1091">
        <f t="shared" ref="F34:F39" si="19">E34</f>
        <v>0</v>
      </c>
      <c r="G34" s="1091">
        <f t="shared" si="9"/>
        <v>0</v>
      </c>
      <c r="H34" s="1091">
        <f>Bird_Field!$F8</f>
        <v>0</v>
      </c>
      <c r="I34" s="1091">
        <f t="shared" ref="I34:I39" si="20">H34</f>
        <v>0</v>
      </c>
      <c r="J34" s="1091">
        <f t="shared" si="10"/>
        <v>0</v>
      </c>
      <c r="K34" s="1091">
        <f>Bird_Field!$G8</f>
        <v>0</v>
      </c>
      <c r="L34" s="1091">
        <f t="shared" ref="L34:L39" si="21">K34</f>
        <v>0</v>
      </c>
      <c r="M34" s="1091">
        <f t="shared" si="11"/>
        <v>0</v>
      </c>
      <c r="N34" s="1091">
        <f>Bird_Field!$H8</f>
        <v>0</v>
      </c>
      <c r="O34" s="1091">
        <f t="shared" ref="O34:O39" si="22">N34</f>
        <v>0</v>
      </c>
      <c r="P34" s="1091">
        <f t="shared" si="12"/>
        <v>0</v>
      </c>
      <c r="Q34" s="1091">
        <f>Bird_Field!$I8</f>
        <v>0</v>
      </c>
      <c r="R34" s="1091">
        <f t="shared" ref="R34:R39" si="23">Q34</f>
        <v>0</v>
      </c>
      <c r="S34" s="1091">
        <f t="shared" si="13"/>
        <v>0</v>
      </c>
      <c r="T34" s="1091">
        <f>Bird_Field!$J8</f>
        <v>0</v>
      </c>
      <c r="U34" s="1091">
        <f t="shared" ref="U34:U39" si="24">T34</f>
        <v>0</v>
      </c>
      <c r="V34" s="1091">
        <f t="shared" si="14"/>
        <v>0</v>
      </c>
      <c r="W34" s="1091">
        <f>Bird_Field!$K8</f>
        <v>0</v>
      </c>
      <c r="X34" s="1091">
        <f t="shared" ref="X34:X39" si="25">W34</f>
        <v>0</v>
      </c>
      <c r="Y34" s="1091">
        <f t="shared" si="15"/>
        <v>0</v>
      </c>
      <c r="Z34" s="1091">
        <f>Bird_Field!$L8</f>
        <v>0</v>
      </c>
      <c r="AA34" s="1091">
        <f t="shared" ref="AA34:AA39" si="26">Z34</f>
        <v>0</v>
      </c>
      <c r="AB34" s="1091">
        <f t="shared" si="16"/>
        <v>0</v>
      </c>
      <c r="AC34" s="1091">
        <f>Bird_Field!$M8</f>
        <v>0</v>
      </c>
      <c r="AD34" s="1091">
        <f t="shared" ref="AD34:AD39" si="27">AC34</f>
        <v>0</v>
      </c>
      <c r="AE34" s="1091">
        <f t="shared" si="17"/>
        <v>0</v>
      </c>
      <c r="AF34" s="1091">
        <f>Bird_Field!$N8</f>
        <v>0</v>
      </c>
      <c r="AG34" s="1091">
        <f t="shared" ref="AG34:AG39" si="28">AF34</f>
        <v>0</v>
      </c>
      <c r="AH34" s="1091">
        <f t="shared" si="18"/>
        <v>0</v>
      </c>
    </row>
    <row r="35" spans="1:34" ht="21" customHeight="1" x14ac:dyDescent="0.2">
      <c r="A35" s="1219"/>
      <c r="B35" s="349">
        <v>13</v>
      </c>
      <c r="C35" s="351" t="s">
        <v>63</v>
      </c>
      <c r="D35" s="1090">
        <f t="shared" ref="D35" si="29">IF(E35=0,0,1.5)</f>
        <v>0</v>
      </c>
      <c r="E35" s="1091">
        <f>Bird_Field!$E9</f>
        <v>0</v>
      </c>
      <c r="F35" s="1091">
        <f t="shared" si="19"/>
        <v>0</v>
      </c>
      <c r="G35" s="1091">
        <f t="shared" si="9"/>
        <v>0</v>
      </c>
      <c r="H35" s="1091">
        <f>Bird_Field!$F9</f>
        <v>0</v>
      </c>
      <c r="I35" s="1091">
        <f t="shared" si="20"/>
        <v>0</v>
      </c>
      <c r="J35" s="1091">
        <f t="shared" si="10"/>
        <v>0</v>
      </c>
      <c r="K35" s="1091">
        <f>Bird_Field!$G9</f>
        <v>0</v>
      </c>
      <c r="L35" s="1091">
        <f t="shared" si="21"/>
        <v>0</v>
      </c>
      <c r="M35" s="1091">
        <f t="shared" si="11"/>
        <v>0</v>
      </c>
      <c r="N35" s="1091">
        <f>Bird_Field!$H9</f>
        <v>0</v>
      </c>
      <c r="O35" s="1091">
        <f t="shared" si="22"/>
        <v>0</v>
      </c>
      <c r="P35" s="1091">
        <f t="shared" si="12"/>
        <v>0</v>
      </c>
      <c r="Q35" s="1091">
        <f>Bird_Field!$I9</f>
        <v>0</v>
      </c>
      <c r="R35" s="1091">
        <f t="shared" si="23"/>
        <v>0</v>
      </c>
      <c r="S35" s="1091">
        <f t="shared" si="13"/>
        <v>0</v>
      </c>
      <c r="T35" s="1091">
        <f>Bird_Field!$J9</f>
        <v>0</v>
      </c>
      <c r="U35" s="1091">
        <f t="shared" si="24"/>
        <v>0</v>
      </c>
      <c r="V35" s="1091">
        <f t="shared" si="14"/>
        <v>0</v>
      </c>
      <c r="W35" s="1091">
        <f>Bird_Field!$K9</f>
        <v>0</v>
      </c>
      <c r="X35" s="1091">
        <f t="shared" si="25"/>
        <v>0</v>
      </c>
      <c r="Y35" s="1091">
        <f t="shared" si="15"/>
        <v>0</v>
      </c>
      <c r="Z35" s="1091">
        <f>Bird_Field!$L9</f>
        <v>0</v>
      </c>
      <c r="AA35" s="1091">
        <f t="shared" si="26"/>
        <v>0</v>
      </c>
      <c r="AB35" s="1091">
        <f t="shared" si="16"/>
        <v>0</v>
      </c>
      <c r="AC35" s="1091">
        <f>Bird_Field!$M9</f>
        <v>0</v>
      </c>
      <c r="AD35" s="1091">
        <f t="shared" si="27"/>
        <v>0</v>
      </c>
      <c r="AE35" s="1091">
        <f t="shared" si="17"/>
        <v>0</v>
      </c>
      <c r="AF35" s="1091">
        <f>Bird_Field!$N9</f>
        <v>0</v>
      </c>
      <c r="AG35" s="1091">
        <f t="shared" si="28"/>
        <v>0</v>
      </c>
      <c r="AH35" s="1091">
        <f t="shared" si="18"/>
        <v>0</v>
      </c>
    </row>
    <row r="36" spans="1:34" ht="21" customHeight="1" x14ac:dyDescent="0.2">
      <c r="A36" s="1219"/>
      <c r="B36" s="349">
        <v>14</v>
      </c>
      <c r="C36" s="350" t="s">
        <v>707</v>
      </c>
      <c r="D36" s="1090">
        <f>IF(E36=0,0,2)</f>
        <v>0</v>
      </c>
      <c r="E36" s="1091">
        <f>Bird_Field!$E10</f>
        <v>0</v>
      </c>
      <c r="F36" s="1091">
        <f t="shared" si="19"/>
        <v>0</v>
      </c>
      <c r="G36" s="1092">
        <f t="shared" si="9"/>
        <v>0</v>
      </c>
      <c r="H36" s="1091">
        <f>Bird_Field!$F10</f>
        <v>0</v>
      </c>
      <c r="I36" s="1091">
        <f t="shared" si="20"/>
        <v>0</v>
      </c>
      <c r="J36" s="1092">
        <f t="shared" si="10"/>
        <v>0</v>
      </c>
      <c r="K36" s="1091">
        <f>Bird_Field!$G10</f>
        <v>0</v>
      </c>
      <c r="L36" s="1091">
        <f t="shared" si="21"/>
        <v>0</v>
      </c>
      <c r="M36" s="1092">
        <f t="shared" si="11"/>
        <v>0</v>
      </c>
      <c r="N36" s="1091">
        <f>Bird_Field!$H10</f>
        <v>0</v>
      </c>
      <c r="O36" s="1091">
        <f t="shared" si="22"/>
        <v>0</v>
      </c>
      <c r="P36" s="1092">
        <f t="shared" si="12"/>
        <v>0</v>
      </c>
      <c r="Q36" s="1091">
        <f>Bird_Field!$I10</f>
        <v>0</v>
      </c>
      <c r="R36" s="1091">
        <f t="shared" si="23"/>
        <v>0</v>
      </c>
      <c r="S36" s="1092">
        <f t="shared" si="13"/>
        <v>0</v>
      </c>
      <c r="T36" s="1091">
        <f>Bird_Field!$J10</f>
        <v>0</v>
      </c>
      <c r="U36" s="1091">
        <f t="shared" si="24"/>
        <v>0</v>
      </c>
      <c r="V36" s="1092">
        <f t="shared" si="14"/>
        <v>0</v>
      </c>
      <c r="W36" s="1091">
        <f>Bird_Field!$K10</f>
        <v>0</v>
      </c>
      <c r="X36" s="1091">
        <f t="shared" si="25"/>
        <v>0</v>
      </c>
      <c r="Y36" s="1092">
        <f t="shared" si="15"/>
        <v>0</v>
      </c>
      <c r="Z36" s="1091">
        <f>Bird_Field!$L10</f>
        <v>0</v>
      </c>
      <c r="AA36" s="1091">
        <f t="shared" si="26"/>
        <v>0</v>
      </c>
      <c r="AB36" s="1092">
        <f t="shared" si="16"/>
        <v>0</v>
      </c>
      <c r="AC36" s="1091">
        <f>Bird_Field!$M10</f>
        <v>0</v>
      </c>
      <c r="AD36" s="1091">
        <f t="shared" si="27"/>
        <v>0</v>
      </c>
      <c r="AE36" s="1092">
        <f t="shared" si="17"/>
        <v>0</v>
      </c>
      <c r="AF36" s="1091">
        <f>Bird_Field!$N10</f>
        <v>0</v>
      </c>
      <c r="AG36" s="1091">
        <f t="shared" si="28"/>
        <v>0</v>
      </c>
      <c r="AH36" s="1092">
        <f t="shared" si="18"/>
        <v>0</v>
      </c>
    </row>
    <row r="37" spans="1:34" s="3" customFormat="1" ht="20.25" customHeight="1" x14ac:dyDescent="0.2">
      <c r="A37" s="1219"/>
      <c r="B37" s="349">
        <v>15</v>
      </c>
      <c r="C37" s="350" t="s">
        <v>699</v>
      </c>
      <c r="D37" s="1090">
        <f t="shared" ref="D37:D39" si="30">IF(E37=0,0,2)</f>
        <v>0</v>
      </c>
      <c r="E37" s="1091">
        <f>IF(VEG_DATA!$W313&gt;0, 1, 0)</f>
        <v>0</v>
      </c>
      <c r="F37" s="1091">
        <f t="shared" si="19"/>
        <v>0</v>
      </c>
      <c r="G37" s="1091">
        <f t="shared" si="9"/>
        <v>0</v>
      </c>
      <c r="H37" s="1091">
        <f>IF(VEG_DATA!$W314&gt;0, 1, 0)</f>
        <v>0</v>
      </c>
      <c r="I37" s="1091">
        <f t="shared" si="20"/>
        <v>0</v>
      </c>
      <c r="J37" s="1091">
        <f t="shared" si="10"/>
        <v>0</v>
      </c>
      <c r="K37" s="1091">
        <f>IF(VEG_DATA!$W315&gt;0, 1, 0)</f>
        <v>0</v>
      </c>
      <c r="L37" s="1091">
        <f t="shared" si="21"/>
        <v>0</v>
      </c>
      <c r="M37" s="1091">
        <f t="shared" si="11"/>
        <v>0</v>
      </c>
      <c r="N37" s="1091">
        <f>IF(VEG_DATA!$W316&gt;0, 1, 0)</f>
        <v>0</v>
      </c>
      <c r="O37" s="1091">
        <f t="shared" si="22"/>
        <v>0</v>
      </c>
      <c r="P37" s="1091">
        <f t="shared" si="12"/>
        <v>0</v>
      </c>
      <c r="Q37" s="1091">
        <f>IF(VEG_DATA!$W317&gt;0, 1, 0)</f>
        <v>0</v>
      </c>
      <c r="R37" s="1091">
        <f t="shared" si="23"/>
        <v>0</v>
      </c>
      <c r="S37" s="1091">
        <f t="shared" si="13"/>
        <v>0</v>
      </c>
      <c r="T37" s="1091">
        <f>IF(VEG_DATA!$W318&gt;0, 1, 0)</f>
        <v>0</v>
      </c>
      <c r="U37" s="1091">
        <f t="shared" si="24"/>
        <v>0</v>
      </c>
      <c r="V37" s="1091">
        <f t="shared" si="14"/>
        <v>0</v>
      </c>
      <c r="W37" s="1091">
        <f>IF(VEG_DATA!$W319&gt;0, 1, 0)</f>
        <v>0</v>
      </c>
      <c r="X37" s="1091">
        <f t="shared" si="25"/>
        <v>0</v>
      </c>
      <c r="Y37" s="1091">
        <f t="shared" si="15"/>
        <v>0</v>
      </c>
      <c r="Z37" s="1091">
        <f>IF(VEG_DATA!$W320&gt;0, 1, 0)</f>
        <v>0</v>
      </c>
      <c r="AA37" s="1091">
        <f t="shared" si="26"/>
        <v>0</v>
      </c>
      <c r="AB37" s="1091">
        <f t="shared" si="16"/>
        <v>0</v>
      </c>
      <c r="AC37" s="1091">
        <f>IF(VEG_DATA!$W321&gt;0, 1, 0)</f>
        <v>0</v>
      </c>
      <c r="AD37" s="1091">
        <f t="shared" si="27"/>
        <v>0</v>
      </c>
      <c r="AE37" s="1091">
        <f t="shared" si="17"/>
        <v>0</v>
      </c>
      <c r="AF37" s="1091">
        <f>IF(VEG_DATA!$W322&gt;0, 1, 0)</f>
        <v>0</v>
      </c>
      <c r="AG37" s="1091">
        <f t="shared" si="28"/>
        <v>0</v>
      </c>
      <c r="AH37" s="1091">
        <f t="shared" si="18"/>
        <v>0</v>
      </c>
    </row>
    <row r="38" spans="1:34" s="3" customFormat="1" ht="20.25" customHeight="1" x14ac:dyDescent="0.2">
      <c r="A38" s="1219"/>
      <c r="B38" s="349">
        <v>16</v>
      </c>
      <c r="C38" s="350" t="s">
        <v>700</v>
      </c>
      <c r="D38" s="1090">
        <f t="shared" si="30"/>
        <v>0</v>
      </c>
      <c r="E38" s="1091">
        <f>IF(VEG_DATA!$AP38&gt;10, 1, IF(VEG_DATA!$BK38&gt;10, 1, 0))</f>
        <v>0</v>
      </c>
      <c r="F38" s="1091">
        <f t="shared" si="19"/>
        <v>0</v>
      </c>
      <c r="G38" s="1091">
        <f t="shared" si="9"/>
        <v>0</v>
      </c>
      <c r="H38" s="1091">
        <f>IF(VEG_DATA!$AP68&gt;10, 1, IF(VEG_DATA!$BK68&gt;10, 1, 0))</f>
        <v>0</v>
      </c>
      <c r="I38" s="1091">
        <f t="shared" si="20"/>
        <v>0</v>
      </c>
      <c r="J38" s="1091">
        <f t="shared" si="10"/>
        <v>0</v>
      </c>
      <c r="K38" s="1091">
        <f>IF(VEG_DATA!$AP98&gt;10, 1, IF(VEG_DATA!$BK98&gt;10, 1, 0))</f>
        <v>0</v>
      </c>
      <c r="L38" s="1091">
        <f t="shared" si="21"/>
        <v>0</v>
      </c>
      <c r="M38" s="1091">
        <f t="shared" si="11"/>
        <v>0</v>
      </c>
      <c r="N38" s="1091">
        <f>IF(VEG_DATA!$AP128&gt;10, 1, IF(VEG_DATA!$BK128&gt;10, 1, 0))</f>
        <v>0</v>
      </c>
      <c r="O38" s="1091">
        <f t="shared" si="22"/>
        <v>0</v>
      </c>
      <c r="P38" s="1091">
        <f t="shared" si="12"/>
        <v>0</v>
      </c>
      <c r="Q38" s="1091">
        <f>IF(VEG_DATA!$AP158&gt;10, 1, IF(VEG_DATA!$BK158&gt;10, 1, 0))</f>
        <v>0</v>
      </c>
      <c r="R38" s="1091">
        <f t="shared" si="23"/>
        <v>0</v>
      </c>
      <c r="S38" s="1091">
        <f t="shared" si="13"/>
        <v>0</v>
      </c>
      <c r="T38" s="1091">
        <f>IF(VEG_DATA!$AP188&gt;10, 1, IF(VEG_DATA!$BK188&gt;10, 1, 0))</f>
        <v>0</v>
      </c>
      <c r="U38" s="1091">
        <f t="shared" si="24"/>
        <v>0</v>
      </c>
      <c r="V38" s="1091">
        <f t="shared" si="14"/>
        <v>0</v>
      </c>
      <c r="W38" s="1091">
        <f>IF(VEG_DATA!$AP218&gt;10, 1, IF(VEG_DATA!$BK218&gt;10, 1, 0))</f>
        <v>0</v>
      </c>
      <c r="X38" s="1091">
        <f t="shared" si="25"/>
        <v>0</v>
      </c>
      <c r="Y38" s="1091">
        <f t="shared" si="15"/>
        <v>0</v>
      </c>
      <c r="Z38" s="1091">
        <f>IF(VEG_DATA!$AP248&gt;10, 1, IF(VEG_DATA!$BK248&gt;10, 1, 0))</f>
        <v>0</v>
      </c>
      <c r="AA38" s="1091">
        <f t="shared" si="26"/>
        <v>0</v>
      </c>
      <c r="AB38" s="1091">
        <f t="shared" si="16"/>
        <v>0</v>
      </c>
      <c r="AC38" s="1091">
        <f>IF(VEG_DATA!$AP278&gt;10, 1, IF(VEG_DATA!$BK278&gt;10, 1, 0))</f>
        <v>0</v>
      </c>
      <c r="AD38" s="1091">
        <f t="shared" si="27"/>
        <v>0</v>
      </c>
      <c r="AE38" s="1091">
        <f t="shared" si="17"/>
        <v>0</v>
      </c>
      <c r="AF38" s="1091">
        <f>IF(VEG_DATA!$AP308&gt;10, 1, IF(VEG_DATA!$BK308&gt;10, 1, 0))</f>
        <v>0</v>
      </c>
      <c r="AG38" s="1091">
        <f t="shared" si="28"/>
        <v>0</v>
      </c>
      <c r="AH38" s="1091">
        <f t="shared" si="18"/>
        <v>0</v>
      </c>
    </row>
    <row r="39" spans="1:34" s="77" customFormat="1" ht="20.25" customHeight="1" x14ac:dyDescent="0.2">
      <c r="A39" s="1219"/>
      <c r="B39" s="352">
        <v>17</v>
      </c>
      <c r="C39" s="350" t="s">
        <v>715</v>
      </c>
      <c r="D39" s="1090">
        <f t="shared" si="30"/>
        <v>0</v>
      </c>
      <c r="E39" s="1090">
        <f>Bird_Field!$E11</f>
        <v>0</v>
      </c>
      <c r="F39" s="1091">
        <f t="shared" si="19"/>
        <v>0</v>
      </c>
      <c r="G39" s="1091">
        <f t="shared" si="9"/>
        <v>0</v>
      </c>
      <c r="H39" s="1090">
        <f>Bird_Field!$F11</f>
        <v>0</v>
      </c>
      <c r="I39" s="1091">
        <f t="shared" si="20"/>
        <v>0</v>
      </c>
      <c r="J39" s="1091">
        <f t="shared" si="10"/>
        <v>0</v>
      </c>
      <c r="K39" s="1090">
        <f>Bird_Field!$G11</f>
        <v>0</v>
      </c>
      <c r="L39" s="1091">
        <f t="shared" si="21"/>
        <v>0</v>
      </c>
      <c r="M39" s="1091">
        <f t="shared" si="11"/>
        <v>0</v>
      </c>
      <c r="N39" s="1090">
        <f>Bird_Field!$H11</f>
        <v>0</v>
      </c>
      <c r="O39" s="1091">
        <f t="shared" si="22"/>
        <v>0</v>
      </c>
      <c r="P39" s="1091">
        <f t="shared" si="12"/>
        <v>0</v>
      </c>
      <c r="Q39" s="1090">
        <f>Bird_Field!$I11</f>
        <v>0</v>
      </c>
      <c r="R39" s="1091">
        <f t="shared" si="23"/>
        <v>0</v>
      </c>
      <c r="S39" s="1091">
        <f t="shared" si="13"/>
        <v>0</v>
      </c>
      <c r="T39" s="1090">
        <f>Bird_Field!$J11</f>
        <v>0</v>
      </c>
      <c r="U39" s="1091">
        <f t="shared" si="24"/>
        <v>0</v>
      </c>
      <c r="V39" s="1091">
        <f t="shared" si="14"/>
        <v>0</v>
      </c>
      <c r="W39" s="1090">
        <f>Bird_Field!$K11</f>
        <v>0</v>
      </c>
      <c r="X39" s="1091">
        <f t="shared" si="25"/>
        <v>0</v>
      </c>
      <c r="Y39" s="1091">
        <f t="shared" si="15"/>
        <v>0</v>
      </c>
      <c r="Z39" s="1090">
        <f>Bird_Field!$L11</f>
        <v>0</v>
      </c>
      <c r="AA39" s="1091">
        <f t="shared" si="26"/>
        <v>0</v>
      </c>
      <c r="AB39" s="1091">
        <f t="shared" si="16"/>
        <v>0</v>
      </c>
      <c r="AC39" s="1090">
        <f>Bird_Field!$M11</f>
        <v>0</v>
      </c>
      <c r="AD39" s="1091">
        <f t="shared" si="27"/>
        <v>0</v>
      </c>
      <c r="AE39" s="1091">
        <f t="shared" si="17"/>
        <v>0</v>
      </c>
      <c r="AF39" s="1090">
        <f>Bird_Field!$N11</f>
        <v>0</v>
      </c>
      <c r="AG39" s="1091">
        <f t="shared" si="28"/>
        <v>0</v>
      </c>
      <c r="AH39" s="1091">
        <f t="shared" si="18"/>
        <v>0</v>
      </c>
    </row>
    <row r="40" spans="1:34" ht="19.5" customHeight="1" x14ac:dyDescent="0.2">
      <c r="A40" s="1219"/>
      <c r="B40" s="1208" t="s">
        <v>56</v>
      </c>
      <c r="C40" s="1208"/>
      <c r="D40" s="1093">
        <f>+SUM(D32:D39)</f>
        <v>4</v>
      </c>
      <c r="E40" s="1094"/>
      <c r="F40" s="1094"/>
      <c r="G40" s="1095">
        <f>+(SUM(G32:G39))/$D40</f>
        <v>0</v>
      </c>
      <c r="H40" s="1096"/>
      <c r="I40" s="1096"/>
      <c r="J40" s="1095">
        <f>+(SUM(J32:J39))/$D40</f>
        <v>0</v>
      </c>
      <c r="K40" s="1096"/>
      <c r="L40" s="1096"/>
      <c r="M40" s="1095">
        <f>+(SUM(M32:M39))/$D40</f>
        <v>0</v>
      </c>
      <c r="N40" s="1096"/>
      <c r="O40" s="1093"/>
      <c r="P40" s="1095">
        <f>+(SUM(P32:P39))/$D40</f>
        <v>0</v>
      </c>
      <c r="Q40" s="1096"/>
      <c r="R40" s="1096"/>
      <c r="S40" s="1095">
        <f>+(SUM(S32:S39))/$D40</f>
        <v>0</v>
      </c>
      <c r="T40" s="1096"/>
      <c r="U40" s="1096"/>
      <c r="V40" s="1095">
        <f>+(SUM(V32:V39))/$D40</f>
        <v>0</v>
      </c>
      <c r="W40" s="1096"/>
      <c r="X40" s="1096"/>
      <c r="Y40" s="1095">
        <f>+(SUM(Y32:Y39))/$D40</f>
        <v>0</v>
      </c>
      <c r="Z40" s="1096"/>
      <c r="AA40" s="1096"/>
      <c r="AB40" s="1095">
        <f>+(SUM(AB32:AB39))/$D40</f>
        <v>0</v>
      </c>
      <c r="AC40" s="1096"/>
      <c r="AD40" s="1096"/>
      <c r="AE40" s="1095">
        <f>+(SUM(AE32:AE39))/$D40</f>
        <v>0</v>
      </c>
      <c r="AF40" s="1096"/>
      <c r="AG40" s="1096"/>
      <c r="AH40" s="1095">
        <f>+(SUM(AH32:AH39))/$D40</f>
        <v>0</v>
      </c>
    </row>
    <row r="41" spans="1:34" ht="15" customHeight="1" x14ac:dyDescent="0.2">
      <c r="A41" s="1209" t="s">
        <v>48</v>
      </c>
      <c r="B41" s="353">
        <v>18</v>
      </c>
      <c r="C41" s="354" t="s">
        <v>701</v>
      </c>
      <c r="D41" s="1116">
        <v>4</v>
      </c>
      <c r="E41" s="1117">
        <f>IF(Bird_Field!$E12="",0,IF(Bird_Field!$E12=0,1,0))</f>
        <v>0</v>
      </c>
      <c r="F41" s="1117">
        <f>E41</f>
        <v>0</v>
      </c>
      <c r="G41" s="1117">
        <f>$D41*F41</f>
        <v>0</v>
      </c>
      <c r="H41" s="1117">
        <f>IF(Bird_Field!$F12="",0,IF(Bird_Field!$F12 = 0, 1, 0))</f>
        <v>0</v>
      </c>
      <c r="I41" s="1117">
        <f>H41</f>
        <v>0</v>
      </c>
      <c r="J41" s="1117">
        <f>$D41*I41</f>
        <v>0</v>
      </c>
      <c r="K41" s="1117">
        <f>IF(Bird_Field!$G12="",0,IF(Bird_Field!$G12 = 0, 1, 0))</f>
        <v>0</v>
      </c>
      <c r="L41" s="1117">
        <f>K41</f>
        <v>0</v>
      </c>
      <c r="M41" s="1117">
        <f>$D41*L41</f>
        <v>0</v>
      </c>
      <c r="N41" s="1117">
        <f>IF(Bird_Field!$H12="",0,IF(Bird_Field!$H12=0,1,0))</f>
        <v>0</v>
      </c>
      <c r="O41" s="1117">
        <f>N41</f>
        <v>0</v>
      </c>
      <c r="P41" s="1117">
        <f>$D41*O41</f>
        <v>0</v>
      </c>
      <c r="Q41" s="1117">
        <f>IF(Bird_Field!$I12="",0,IF(Bird_Field!$I12=0,1,0))</f>
        <v>0</v>
      </c>
      <c r="R41" s="1117">
        <f>Q41</f>
        <v>0</v>
      </c>
      <c r="S41" s="1117">
        <f>$D41*R41</f>
        <v>0</v>
      </c>
      <c r="T41" s="1117">
        <f>IF(Bird_Field!$J12="",0,IF(Bird_Field!$J12=0,1,0))</f>
        <v>0</v>
      </c>
      <c r="U41" s="1117">
        <f>T41</f>
        <v>0</v>
      </c>
      <c r="V41" s="1117">
        <f>$D41*U41</f>
        <v>0</v>
      </c>
      <c r="W41" s="1117">
        <f>IF(Bird_Field!$K12="",0,IF(Bird_Field!$K12=0,1,0))</f>
        <v>0</v>
      </c>
      <c r="X41" s="1117">
        <f>W41</f>
        <v>0</v>
      </c>
      <c r="Y41" s="1117">
        <f>$D41*X41</f>
        <v>0</v>
      </c>
      <c r="Z41" s="1117">
        <f>IF(Bird_Field!$L12="",0,IF(Bird_Field!$L12=0,1,0))</f>
        <v>0</v>
      </c>
      <c r="AA41" s="1117">
        <f>Z41</f>
        <v>0</v>
      </c>
      <c r="AB41" s="1117">
        <f>$D41*AA41</f>
        <v>0</v>
      </c>
      <c r="AC41" s="1117">
        <f>IF(Bird_Field!$M12="",0,IF(Bird_Field!$M12=0,1,0))</f>
        <v>0</v>
      </c>
      <c r="AD41" s="1117">
        <f>AC41</f>
        <v>0</v>
      </c>
      <c r="AE41" s="1117">
        <f>$D41*AD41</f>
        <v>0</v>
      </c>
      <c r="AF41" s="1117">
        <f>IF(Bird_Field!$N12="",0,IF(Bird_Field!$N12=0,1,0))</f>
        <v>0</v>
      </c>
      <c r="AG41" s="1117">
        <f>AF41</f>
        <v>0</v>
      </c>
      <c r="AH41" s="1117">
        <f>$D41*AG41</f>
        <v>0</v>
      </c>
    </row>
    <row r="42" spans="1:34" ht="15" customHeight="1" x14ac:dyDescent="0.2">
      <c r="A42" s="1209"/>
      <c r="B42" s="353">
        <v>19</v>
      </c>
      <c r="C42" s="354" t="s">
        <v>702</v>
      </c>
      <c r="D42" s="1116">
        <v>2</v>
      </c>
      <c r="E42" s="1117">
        <f>IF(Bird_Field!$E13="",0,IF(Bird_Field!$E13=0,1,0))</f>
        <v>0</v>
      </c>
      <c r="F42" s="1117">
        <f>E42</f>
        <v>0</v>
      </c>
      <c r="G42" s="1117">
        <f>$D42*F42</f>
        <v>0</v>
      </c>
      <c r="H42" s="1117">
        <f>IF(Bird_Field!$F13="",0,IF(Bird_Field!$F13=0,1,0))</f>
        <v>0</v>
      </c>
      <c r="I42" s="1117">
        <f>H42</f>
        <v>0</v>
      </c>
      <c r="J42" s="1117">
        <f>$D42*I42</f>
        <v>0</v>
      </c>
      <c r="K42" s="1117">
        <f>IF(Bird_Field!$G13="",0,IF(Bird_Field!$G13=0,1,0))</f>
        <v>0</v>
      </c>
      <c r="L42" s="1117">
        <f>K42</f>
        <v>0</v>
      </c>
      <c r="M42" s="1117">
        <f>$D42*L42</f>
        <v>0</v>
      </c>
      <c r="N42" s="1117">
        <f>IF(Bird_Field!$H13="",0,IF(Bird_Field!$H13=0,1,0))</f>
        <v>0</v>
      </c>
      <c r="O42" s="1117">
        <f>N42</f>
        <v>0</v>
      </c>
      <c r="P42" s="1117">
        <f>$D42*O42</f>
        <v>0</v>
      </c>
      <c r="Q42" s="1117">
        <f>IF(Bird_Field!$I13="",0,IF(Bird_Field!$I13=0,1,0))</f>
        <v>0</v>
      </c>
      <c r="R42" s="1117">
        <f>Q42</f>
        <v>0</v>
      </c>
      <c r="S42" s="1117">
        <f>$D42*R42</f>
        <v>0</v>
      </c>
      <c r="T42" s="1117">
        <f>IF(Bird_Field!$J13="",0,IF(Bird_Field!$J13=0,1,0))</f>
        <v>0</v>
      </c>
      <c r="U42" s="1117">
        <f>T42</f>
        <v>0</v>
      </c>
      <c r="V42" s="1117">
        <f>$D42*U42</f>
        <v>0</v>
      </c>
      <c r="W42" s="1117">
        <f>IF(Bird_Field!$K13="",0,IF(Bird_Field!$K13=0,1,0))</f>
        <v>0</v>
      </c>
      <c r="X42" s="1117">
        <f>W42</f>
        <v>0</v>
      </c>
      <c r="Y42" s="1117">
        <f>$D42*X42</f>
        <v>0</v>
      </c>
      <c r="Z42" s="1117">
        <f>IF(Bird_Field!$L13="",0,IF(Bird_Field!$L13=0,1,0))</f>
        <v>0</v>
      </c>
      <c r="AA42" s="1117">
        <f>Z42</f>
        <v>0</v>
      </c>
      <c r="AB42" s="1117">
        <f>$D42*AA42</f>
        <v>0</v>
      </c>
      <c r="AC42" s="1117">
        <f>IF(Bird_Field!$M13="",0,IF(Bird_Field!$M13=0,1,0))</f>
        <v>0</v>
      </c>
      <c r="AD42" s="1117">
        <f>AC42</f>
        <v>0</v>
      </c>
      <c r="AE42" s="1117">
        <f>$D42*AD42</f>
        <v>0</v>
      </c>
      <c r="AF42" s="1117">
        <f>IF(Bird_Field!$N13="",0,IF(Bird_Field!$N13=0,1,0))</f>
        <v>0</v>
      </c>
      <c r="AG42" s="1117">
        <f>AF42</f>
        <v>0</v>
      </c>
      <c r="AH42" s="1117">
        <f>$D42*AG42</f>
        <v>0</v>
      </c>
    </row>
    <row r="43" spans="1:34" ht="15" customHeight="1" x14ac:dyDescent="0.2">
      <c r="A43" s="1209"/>
      <c r="B43" s="353">
        <v>20</v>
      </c>
      <c r="C43" s="354" t="s">
        <v>717</v>
      </c>
      <c r="D43" s="1116">
        <v>2</v>
      </c>
      <c r="E43" s="1117">
        <f>Bird_Field!$E14</f>
        <v>0</v>
      </c>
      <c r="F43" s="1121">
        <f>IF(Bird_Field!$E14="",0,((100-E43)/100))</f>
        <v>0</v>
      </c>
      <c r="G43" s="1120">
        <f>$D43*F43</f>
        <v>0</v>
      </c>
      <c r="H43" s="1117">
        <f>Bird_Field!$F14</f>
        <v>0</v>
      </c>
      <c r="I43" s="1121">
        <f>IF(Bird_Field!$F14="",0,((100-H43)/100))</f>
        <v>0</v>
      </c>
      <c r="J43" s="1120">
        <f>$D43*I43</f>
        <v>0</v>
      </c>
      <c r="K43" s="1117">
        <f>Bird_Field!$G14</f>
        <v>0</v>
      </c>
      <c r="L43" s="1121">
        <f>IF(Bird_Field!$G14="",0,((100-K43)/100))</f>
        <v>0</v>
      </c>
      <c r="M43" s="1120">
        <f>$D43*L43</f>
        <v>0</v>
      </c>
      <c r="N43" s="1117">
        <f>Bird_Field!$H14</f>
        <v>0</v>
      </c>
      <c r="O43" s="1121">
        <f>IF(Bird_Field!$H14="",0,((100-N43)/100))</f>
        <v>0</v>
      </c>
      <c r="P43" s="1120">
        <f>$D43*O43</f>
        <v>0</v>
      </c>
      <c r="Q43" s="1117">
        <f>Bird_Field!$I14</f>
        <v>0</v>
      </c>
      <c r="R43" s="1121">
        <f>IF(Bird_Field!$I14="",0,((100-Q43)/100))</f>
        <v>0</v>
      </c>
      <c r="S43" s="1120">
        <f>$D43*R43</f>
        <v>0</v>
      </c>
      <c r="T43" s="1117">
        <f>Bird_Field!$J14</f>
        <v>0</v>
      </c>
      <c r="U43" s="1121">
        <f>IF(Bird_Field!$J14="",0,((100-T43)/100))</f>
        <v>0</v>
      </c>
      <c r="V43" s="1120">
        <f>$D43*U43</f>
        <v>0</v>
      </c>
      <c r="W43" s="1117">
        <f>Bird_Field!$K14</f>
        <v>0</v>
      </c>
      <c r="X43" s="1121">
        <f>IF(Bird_Field!$K14="",0,((100-W43)/100))</f>
        <v>0</v>
      </c>
      <c r="Y43" s="1120">
        <f>$D43*X43</f>
        <v>0</v>
      </c>
      <c r="Z43" s="1117">
        <f>Bird_Field!$L14</f>
        <v>0</v>
      </c>
      <c r="AA43" s="1121">
        <f>IF(Bird_Field!$L14="",0,((100-Z43)/100))</f>
        <v>0</v>
      </c>
      <c r="AB43" s="1120">
        <f>$D43*AA43</f>
        <v>0</v>
      </c>
      <c r="AC43" s="1117">
        <f>Bird_Field!$M14</f>
        <v>0</v>
      </c>
      <c r="AD43" s="1121">
        <f>IF(Bird_Field!$M14="",0,((100-AC43)/100))</f>
        <v>0</v>
      </c>
      <c r="AE43" s="1120">
        <f>$D43*AD43</f>
        <v>0</v>
      </c>
      <c r="AF43" s="1117">
        <f>Bird_Field!$N14</f>
        <v>0</v>
      </c>
      <c r="AG43" s="1121">
        <f>IF(Bird_Field!$N14="",0,((100-AF43)/100))</f>
        <v>0</v>
      </c>
      <c r="AH43" s="1120">
        <f>$D43*AG43</f>
        <v>0</v>
      </c>
    </row>
    <row r="44" spans="1:34" ht="17.25" customHeight="1" x14ac:dyDescent="0.2">
      <c r="A44" s="1209"/>
      <c r="B44" s="355" t="s">
        <v>57</v>
      </c>
      <c r="C44" s="356"/>
      <c r="D44" s="1098">
        <f>+SUM(D41:D43)</f>
        <v>8</v>
      </c>
      <c r="E44" s="1097"/>
      <c r="F44" s="1097"/>
      <c r="G44" s="1099">
        <f>+(SUM(G41:G43))/$D44</f>
        <v>0</v>
      </c>
      <c r="H44" s="1100"/>
      <c r="I44" s="1100"/>
      <c r="J44" s="1099">
        <f>+(SUM(J41:J43))/$D44</f>
        <v>0</v>
      </c>
      <c r="K44" s="1100"/>
      <c r="L44" s="1100"/>
      <c r="M44" s="1099">
        <f>+(SUM(M41:M43))/$D44</f>
        <v>0</v>
      </c>
      <c r="N44" s="1100"/>
      <c r="O44" s="1100"/>
      <c r="P44" s="1099">
        <f>+(SUM(P41:P43))/$D44</f>
        <v>0</v>
      </c>
      <c r="Q44" s="1100"/>
      <c r="R44" s="1100"/>
      <c r="S44" s="1099">
        <f>+(SUM(S41:S43))/$D44</f>
        <v>0</v>
      </c>
      <c r="T44" s="1100"/>
      <c r="U44" s="1100"/>
      <c r="V44" s="1099">
        <f>+(SUM(V41:V43))/$D44</f>
        <v>0</v>
      </c>
      <c r="W44" s="1100"/>
      <c r="X44" s="1100"/>
      <c r="Y44" s="1099">
        <f>+(SUM(Y41:Y43))/$D44</f>
        <v>0</v>
      </c>
      <c r="Z44" s="1100"/>
      <c r="AA44" s="1100"/>
      <c r="AB44" s="1099">
        <f>+(SUM(AB41:AB43))/$D44</f>
        <v>0</v>
      </c>
      <c r="AC44" s="1100"/>
      <c r="AD44" s="1100"/>
      <c r="AE44" s="1099">
        <f>+(SUM(AE41:AE43))/$D44</f>
        <v>0</v>
      </c>
      <c r="AF44" s="1100"/>
      <c r="AG44" s="1100"/>
      <c r="AH44" s="1099">
        <f>+(SUM(AH41:AH43))/$D44</f>
        <v>0</v>
      </c>
    </row>
    <row r="45" spans="1:34" ht="27.75" customHeight="1" x14ac:dyDescent="0.2">
      <c r="A45" s="343"/>
      <c r="B45" s="897" t="s">
        <v>770</v>
      </c>
      <c r="C45" s="344"/>
      <c r="D45" s="1101">
        <f>+SUM(D23+D31+D40+D44)</f>
        <v>37.5</v>
      </c>
      <c r="E45" s="1102"/>
      <c r="F45" s="1102"/>
      <c r="G45" s="1103">
        <f>+SUM(G23*$D23+G31*$D31+G40*$D40+G44*$D44)/$D45</f>
        <v>0</v>
      </c>
      <c r="H45" s="1102"/>
      <c r="I45" s="1102"/>
      <c r="J45" s="1103">
        <f>+SUM(J23*$D23+J31*$D31+J40*$D40+J44*$D44)/$D45</f>
        <v>0</v>
      </c>
      <c r="K45" s="1102"/>
      <c r="L45" s="1102"/>
      <c r="M45" s="1103">
        <f>+SUM(M23*$D23+M31*$D31+M40*$D40+M44*$D44)/$D45</f>
        <v>0</v>
      </c>
      <c r="N45" s="1102"/>
      <c r="O45" s="1102"/>
      <c r="P45" s="1103">
        <f>+SUM(P23*$D23+P31*$D31+P40*$D40+P44*$D44)/$D45</f>
        <v>0</v>
      </c>
      <c r="Q45" s="1102"/>
      <c r="R45" s="1102"/>
      <c r="S45" s="1103">
        <f>+SUM(S23*$D23+S31*$D31+S40*$D40+S44*$D44)/$D45</f>
        <v>0</v>
      </c>
      <c r="T45" s="1102"/>
      <c r="U45" s="1102"/>
      <c r="V45" s="1103">
        <f>+SUM(V23*$D23+V31*$D31+V40*$D40+V44*$D44)/$D45</f>
        <v>0</v>
      </c>
      <c r="W45" s="1102"/>
      <c r="X45" s="1102"/>
      <c r="Y45" s="1103">
        <f>+SUM(Y23*$D23+Y31*$D31+Y40*$D40+Y44*$D44)/$D45</f>
        <v>0</v>
      </c>
      <c r="Z45" s="1102"/>
      <c r="AA45" s="1102"/>
      <c r="AB45" s="1103">
        <f>+SUM(AB23*$D23+AB31*$D31+AB40*$D40+AB44*$D44)/$D45</f>
        <v>0</v>
      </c>
      <c r="AC45" s="1102"/>
      <c r="AD45" s="1102"/>
      <c r="AE45" s="1103">
        <f>+SUM(AE23*$D23+AE31*$D31+AE40*$D40+AE44*$D44)/$D45</f>
        <v>0</v>
      </c>
      <c r="AF45" s="1102"/>
      <c r="AG45" s="1102"/>
      <c r="AH45" s="1103">
        <f>+SUM(AH23*$D23+AH31*$D31+AH40*$D40+AH44*$D44)/$D45</f>
        <v>0</v>
      </c>
    </row>
    <row r="46" spans="1:34" ht="15.75" x14ac:dyDescent="0.2">
      <c r="A46" s="319"/>
      <c r="B46" s="976" t="s">
        <v>772</v>
      </c>
      <c r="C46" s="315"/>
      <c r="D46" s="901"/>
      <c r="E46" s="901"/>
      <c r="F46" s="901"/>
      <c r="G46" s="975" t="str">
        <f>IF(E20="","",IFERROR(G45*E21/E21,""))</f>
        <v/>
      </c>
      <c r="H46" s="901"/>
      <c r="I46" s="901"/>
      <c r="J46" s="975" t="str">
        <f>IF(H20="","",IFERROR((E21*G45+J45*H21)/(E21+H21),""))</f>
        <v/>
      </c>
      <c r="K46" s="901"/>
      <c r="L46" s="901"/>
      <c r="M46" s="975" t="str">
        <f>IF(K20="","",IFERROR((E21*G45+H21*J45+K21*M45)/(E21+H21+K21),""))</f>
        <v/>
      </c>
      <c r="N46" s="975"/>
      <c r="O46" s="901"/>
      <c r="P46" s="975" t="str">
        <f>IF(N20="","",IFERROR((E21*G45+H21*J45+K21*M45+N21*P45)/(E21+H21+K21+N21),""))</f>
        <v/>
      </c>
      <c r="Q46" s="901"/>
      <c r="R46" s="901"/>
      <c r="S46" s="975" t="str">
        <f>IF(Q20="","",IFERROR((E21*G45+H21*J45+K21*M45+N21*P45+Q21*S45)/(E21+H21+K21+N21+Q21),""))</f>
        <v/>
      </c>
      <c r="T46" s="901"/>
      <c r="U46" s="901"/>
      <c r="V46" s="975" t="str">
        <f>IF(T20="","",IFERROR((E21*G45+H21*J45+K21*M45+N21*P45+Q21*S45+T21*V45)/(E21+H21+K21+N21+Q21+T21),""))</f>
        <v/>
      </c>
      <c r="W46" s="901"/>
      <c r="X46" s="901"/>
      <c r="Y46" s="975" t="str">
        <f>IF(W20="","",IFERROR((E21*G45+H21*J45+K21*M45+N21*P45+Q21*S45+T21*V45+W21*Y45)/(E21+H21+K21+N21+Q21+T21+W21),""))</f>
        <v/>
      </c>
      <c r="Z46" s="901"/>
      <c r="AA46" s="901"/>
      <c r="AB46" s="975" t="str">
        <f>IF(Z20="","",IFERROR((E21*G45+H21*J45+K21*M45+N21*P45+Q21*S45+T21*V45+W21*Y45+Z21*AB45)/(E21+H21+K21+N21+Q21+T21+W21+Z21),""))</f>
        <v/>
      </c>
      <c r="AC46" s="901"/>
      <c r="AD46" s="901"/>
      <c r="AE46" s="975" t="str">
        <f>IF(AC20="","",IFERROR((E21*G45+H21*J45+K21*M45+N21*P45+Q21*S45+T21*V45+W21*Y45+Z21*AB45+AC21*AE45)/(E21+H21+K21+N21+Q21+T21+W21+Z21+AC21),""))</f>
        <v/>
      </c>
      <c r="AF46" s="901"/>
      <c r="AG46" s="901"/>
      <c r="AH46" s="975" t="str">
        <f>IF(AF20="","",IFERROR((E21*G45+H21*J45+K21*M45+N21*P45+Q21*S45+T21*V45+W21*Y45+Z21*AB45+AC21*AE45+AF21*AH45)/(E21+H21+K21+N21+Q21+T21+W21+Z21+AC21+AF21),""))</f>
        <v/>
      </c>
    </row>
    <row r="47" spans="1:34" ht="18.75" customHeight="1" x14ac:dyDescent="0.2">
      <c r="A47" s="320"/>
      <c r="B47" s="976" t="s">
        <v>771</v>
      </c>
      <c r="C47" s="317"/>
      <c r="D47" s="902"/>
      <c r="E47" s="1104"/>
      <c r="F47" s="1104"/>
      <c r="G47" s="977" t="str">
        <f>IFERROR($F$16*0.6+G46*0.4,"")</f>
        <v/>
      </c>
      <c r="H47" s="1104"/>
      <c r="I47" s="1104"/>
      <c r="J47" s="977" t="str">
        <f>IFERROR($F$16*0.6+J46*0.4,"")</f>
        <v/>
      </c>
      <c r="K47" s="1104"/>
      <c r="L47" s="1104"/>
      <c r="M47" s="977" t="str">
        <f>IFERROR($F$16*0.6+M46*0.4,"")</f>
        <v/>
      </c>
      <c r="N47" s="1104"/>
      <c r="O47" s="1104"/>
      <c r="P47" s="977" t="str">
        <f>IFERROR($F$16*0.6+P46*0.4,"")</f>
        <v/>
      </c>
      <c r="Q47" s="1104"/>
      <c r="R47" s="1104"/>
      <c r="S47" s="977" t="str">
        <f>IFERROR($F$16*0.6+S46*0.4,"")</f>
        <v/>
      </c>
      <c r="T47" s="1104"/>
      <c r="U47" s="1104"/>
      <c r="V47" s="977" t="str">
        <f>IFERROR($F$16*0.6+V46*0.4,"")</f>
        <v/>
      </c>
      <c r="W47" s="1104"/>
      <c r="X47" s="1104"/>
      <c r="Y47" s="977" t="str">
        <f>IFERROR($F$16*0.6+Y46*0.4,"")</f>
        <v/>
      </c>
      <c r="Z47" s="1104"/>
      <c r="AA47" s="1104"/>
      <c r="AB47" s="977" t="str">
        <f>IFERROR($F$16*0.6+AB46*0.4,"")</f>
        <v/>
      </c>
      <c r="AC47" s="1104"/>
      <c r="AD47" s="1104"/>
      <c r="AE47" s="977" t="str">
        <f>IFERROR($F$16*0.6+AE46*0.4,"")</f>
        <v/>
      </c>
      <c r="AF47" s="1104"/>
      <c r="AG47" s="1104"/>
      <c r="AH47" s="977" t="str">
        <f>IFERROR($F$16*0.6+AH46*0.4,"")</f>
        <v/>
      </c>
    </row>
    <row r="48" spans="1:34" x14ac:dyDescent="0.2">
      <c r="K48" s="313"/>
      <c r="L48" s="313"/>
      <c r="M48" s="313"/>
    </row>
    <row r="50" spans="10:10" x14ac:dyDescent="0.2">
      <c r="J50" s="1114"/>
    </row>
  </sheetData>
  <mergeCells count="9">
    <mergeCell ref="A1:F1"/>
    <mergeCell ref="A24:A31"/>
    <mergeCell ref="B40:C40"/>
    <mergeCell ref="A41:A44"/>
    <mergeCell ref="A2:C3"/>
    <mergeCell ref="A7:A11"/>
    <mergeCell ref="A14:A15"/>
    <mergeCell ref="A32:A40"/>
    <mergeCell ref="A20:A22"/>
  </mergeCells>
  <printOptions horizontalCentered="1"/>
  <pageMargins left="0.75" right="0.75" top="1" bottom="1" header="0.5" footer="0.5"/>
  <pageSetup paperSize="17" scale="60" orientation="landscape" r:id="rId1"/>
  <headerFooter alignWithMargins="0">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7"/>
  <sheetViews>
    <sheetView zoomScaleNormal="100" workbookViewId="0">
      <selection activeCell="D7" sqref="D7:D8"/>
    </sheetView>
  </sheetViews>
  <sheetFormatPr defaultColWidth="9.140625" defaultRowHeight="12.75" x14ac:dyDescent="0.2"/>
  <cols>
    <col min="1" max="1" width="9.140625" style="303"/>
    <col min="2" max="2" width="39.140625" style="59" customWidth="1"/>
    <col min="3" max="3" width="67.42578125" style="19" bestFit="1" customWidth="1"/>
    <col min="4" max="4" width="10.42578125" style="249" customWidth="1"/>
    <col min="5" max="5" width="13.5703125" style="249" customWidth="1"/>
    <col min="6" max="6" width="11.42578125" style="249" customWidth="1"/>
    <col min="7" max="7" width="96.85546875" style="19" customWidth="1"/>
    <col min="8" max="8" width="91.28515625" style="19" customWidth="1"/>
    <col min="9" max="16384" width="9.140625" style="19"/>
  </cols>
  <sheetData>
    <row r="1" spans="1:8" ht="69" customHeight="1" x14ac:dyDescent="0.3">
      <c r="A1" s="1180" t="s">
        <v>651</v>
      </c>
      <c r="B1" s="1180"/>
      <c r="C1" s="1180"/>
      <c r="D1" s="1180"/>
      <c r="E1" s="1180"/>
      <c r="F1" s="1180"/>
      <c r="G1" s="753"/>
      <c r="H1" s="42"/>
    </row>
    <row r="2" spans="1:8" ht="13.5" thickBot="1" x14ac:dyDescent="0.25">
      <c r="A2" s="175" t="s">
        <v>65</v>
      </c>
      <c r="B2" s="1171" t="s">
        <v>205</v>
      </c>
      <c r="C2" s="1171"/>
      <c r="D2" s="196" t="s">
        <v>75</v>
      </c>
      <c r="E2" s="197" t="s">
        <v>27</v>
      </c>
      <c r="F2" s="197"/>
      <c r="G2" s="28"/>
      <c r="H2" s="43" t="s">
        <v>27</v>
      </c>
    </row>
    <row r="3" spans="1:8" ht="13.5" thickBot="1" x14ac:dyDescent="0.25">
      <c r="A3" s="254"/>
      <c r="B3" s="29"/>
      <c r="C3" s="30" t="s">
        <v>27</v>
      </c>
      <c r="D3" s="196" t="s">
        <v>74</v>
      </c>
      <c r="E3" s="208"/>
      <c r="F3" s="208"/>
      <c r="G3" s="41"/>
      <c r="H3" s="44"/>
    </row>
    <row r="4" spans="1:8" ht="13.5" thickBot="1" x14ac:dyDescent="0.25">
      <c r="A4" s="175" t="s">
        <v>26</v>
      </c>
      <c r="B4" s="1222"/>
      <c r="C4" s="1222"/>
      <c r="D4" s="197"/>
      <c r="E4" s="197"/>
      <c r="F4" s="197"/>
      <c r="G4" s="31"/>
      <c r="H4" s="45"/>
    </row>
    <row r="5" spans="1:8" ht="15.75" thickBot="1" x14ac:dyDescent="0.3">
      <c r="A5" s="299" t="s">
        <v>570</v>
      </c>
      <c r="B5" s="36"/>
      <c r="C5" s="34"/>
      <c r="D5" s="118"/>
      <c r="E5" s="209" t="s">
        <v>532</v>
      </c>
      <c r="F5" s="209"/>
      <c r="G5" s="37"/>
      <c r="H5" s="44"/>
    </row>
    <row r="6" spans="1:8" ht="26.25" thickBot="1" x14ac:dyDescent="0.25">
      <c r="A6" s="300" t="s">
        <v>32</v>
      </c>
      <c r="B6" s="38" t="s">
        <v>24</v>
      </c>
      <c r="C6" s="38" t="s">
        <v>25</v>
      </c>
      <c r="D6" s="247" t="s">
        <v>54</v>
      </c>
      <c r="E6" s="210" t="s">
        <v>109</v>
      </c>
      <c r="F6" s="198" t="s">
        <v>108</v>
      </c>
      <c r="G6" s="38" t="s">
        <v>26</v>
      </c>
      <c r="H6" s="29"/>
    </row>
    <row r="7" spans="1:8" ht="64.5" thickBot="1" x14ac:dyDescent="0.25">
      <c r="A7" s="301">
        <v>1</v>
      </c>
      <c r="B7" s="55" t="s">
        <v>754</v>
      </c>
      <c r="C7" s="56" t="s">
        <v>761</v>
      </c>
      <c r="D7" s="248"/>
      <c r="E7" s="203">
        <v>0</v>
      </c>
      <c r="F7" s="203">
        <v>1</v>
      </c>
      <c r="G7" s="56" t="s">
        <v>206</v>
      </c>
      <c r="H7" s="29"/>
    </row>
    <row r="8" spans="1:8" ht="64.5" thickBot="1" x14ac:dyDescent="0.25">
      <c r="A8" s="301">
        <v>2</v>
      </c>
      <c r="B8" s="55" t="s">
        <v>569</v>
      </c>
      <c r="C8" s="56" t="s">
        <v>762</v>
      </c>
      <c r="D8" s="248"/>
      <c r="E8" s="203">
        <v>0</v>
      </c>
      <c r="F8" s="203">
        <v>1</v>
      </c>
      <c r="G8" s="56" t="s">
        <v>568</v>
      </c>
      <c r="H8" s="29"/>
    </row>
    <row r="9" spans="1:8" ht="15" x14ac:dyDescent="0.25">
      <c r="A9" s="302"/>
      <c r="B9" s="57"/>
      <c r="C9" s="25"/>
    </row>
    <row r="10" spans="1:8" x14ac:dyDescent="0.2">
      <c r="B10" s="58"/>
    </row>
    <row r="11" spans="1:8" x14ac:dyDescent="0.2">
      <c r="B11" s="58"/>
    </row>
    <row r="12" spans="1:8" x14ac:dyDescent="0.2">
      <c r="B12" s="58"/>
    </row>
    <row r="13" spans="1:8" x14ac:dyDescent="0.2">
      <c r="B13" s="58"/>
    </row>
    <row r="14" spans="1:8" x14ac:dyDescent="0.2">
      <c r="B14" s="58"/>
    </row>
    <row r="15" spans="1:8" x14ac:dyDescent="0.2">
      <c r="B15" s="58"/>
      <c r="C15" s="19" t="s">
        <v>27</v>
      </c>
    </row>
    <row r="16" spans="1:8" x14ac:dyDescent="0.2">
      <c r="B16" s="58"/>
      <c r="C16" s="19" t="s">
        <v>27</v>
      </c>
    </row>
    <row r="17" spans="2:6" x14ac:dyDescent="0.2">
      <c r="B17" s="58"/>
      <c r="D17" s="250"/>
      <c r="E17" s="250"/>
      <c r="F17" s="250"/>
    </row>
  </sheetData>
  <mergeCells count="3">
    <mergeCell ref="B2:C2"/>
    <mergeCell ref="B4:C4"/>
    <mergeCell ref="A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1"/>
  <sheetViews>
    <sheetView topLeftCell="A13" zoomScale="80" zoomScaleNormal="80" workbookViewId="0">
      <selection activeCell="E10" sqref="E10:N24"/>
    </sheetView>
  </sheetViews>
  <sheetFormatPr defaultColWidth="9.140625" defaultRowHeight="12.75" x14ac:dyDescent="0.2"/>
  <cols>
    <col min="1" max="1" width="18.28515625" style="59" customWidth="1"/>
    <col min="2" max="2" width="4.85546875" style="246" customWidth="1"/>
    <col min="3" max="3" width="70" style="62" customWidth="1"/>
    <col min="4" max="4" width="12.28515625" style="251" customWidth="1"/>
    <col min="5" max="5" width="11.28515625" style="59" customWidth="1"/>
    <col min="6" max="14" width="11.28515625" style="19" customWidth="1"/>
    <col min="15" max="16384" width="9.140625" style="19"/>
  </cols>
  <sheetData>
    <row r="1" spans="1:14" ht="20.25" customHeight="1" thickBot="1" x14ac:dyDescent="0.25">
      <c r="A1" s="242" t="s">
        <v>757</v>
      </c>
      <c r="B1" s="242"/>
      <c r="C1" s="46"/>
      <c r="D1" s="243" t="s">
        <v>118</v>
      </c>
      <c r="E1" s="19"/>
      <c r="F1" s="23" t="s">
        <v>27</v>
      </c>
    </row>
    <row r="2" spans="1:14" ht="26.25" customHeight="1" thickBot="1" x14ac:dyDescent="0.25">
      <c r="A2" s="243" t="s">
        <v>758</v>
      </c>
      <c r="B2" s="242"/>
      <c r="C2" s="1222"/>
      <c r="D2" s="1222"/>
      <c r="E2" s="24"/>
      <c r="F2" s="24"/>
    </row>
    <row r="3" spans="1:14" ht="26.25" customHeight="1" x14ac:dyDescent="0.35">
      <c r="A3" s="1225" t="s">
        <v>759</v>
      </c>
      <c r="B3" s="1225"/>
      <c r="C3" s="1225"/>
      <c r="D3" s="1225"/>
      <c r="E3" s="1225"/>
      <c r="F3" s="1225"/>
      <c r="G3" s="1225"/>
      <c r="H3" s="1225"/>
      <c r="I3" s="1225"/>
      <c r="J3" s="1225"/>
      <c r="K3" s="1225"/>
      <c r="L3" s="1225"/>
      <c r="M3" s="1225"/>
      <c r="N3" s="1225"/>
    </row>
    <row r="4" spans="1:14" ht="81" customHeight="1" x14ac:dyDescent="0.2">
      <c r="A4" s="60" t="s">
        <v>79</v>
      </c>
      <c r="B4" s="252" t="s">
        <v>5</v>
      </c>
      <c r="C4" s="61" t="s">
        <v>24</v>
      </c>
      <c r="D4" s="252" t="s">
        <v>78</v>
      </c>
      <c r="E4" s="861" t="s">
        <v>693</v>
      </c>
      <c r="F4" s="862" t="s">
        <v>398</v>
      </c>
      <c r="G4" s="862" t="s">
        <v>399</v>
      </c>
      <c r="H4" s="862" t="s">
        <v>400</v>
      </c>
      <c r="I4" s="862" t="s">
        <v>406</v>
      </c>
      <c r="J4" s="862" t="s">
        <v>401</v>
      </c>
      <c r="K4" s="862" t="s">
        <v>716</v>
      </c>
      <c r="L4" s="862" t="s">
        <v>403</v>
      </c>
      <c r="M4" s="862" t="s">
        <v>404</v>
      </c>
      <c r="N4" s="862" t="s">
        <v>405</v>
      </c>
    </row>
    <row r="5" spans="1:14" s="10" customFormat="1" ht="30.75" customHeight="1" x14ac:dyDescent="0.2">
      <c r="A5" s="1224" t="s">
        <v>76</v>
      </c>
      <c r="B5" s="255"/>
      <c r="C5" s="151" t="s">
        <v>534</v>
      </c>
      <c r="D5" s="923">
        <f>+VEG_DATA!S326+VEG_DATA!S327</f>
        <v>0</v>
      </c>
      <c r="E5" s="906" t="s">
        <v>183</v>
      </c>
      <c r="F5" s="906" t="s">
        <v>183</v>
      </c>
      <c r="G5" s="906" t="s">
        <v>183</v>
      </c>
      <c r="H5" s="906" t="s">
        <v>183</v>
      </c>
      <c r="I5" s="906" t="s">
        <v>183</v>
      </c>
      <c r="J5" s="906" t="s">
        <v>183</v>
      </c>
      <c r="K5" s="906" t="s">
        <v>183</v>
      </c>
      <c r="L5" s="906" t="s">
        <v>183</v>
      </c>
      <c r="M5" s="906" t="s">
        <v>183</v>
      </c>
      <c r="N5" s="906" t="s">
        <v>183</v>
      </c>
    </row>
    <row r="6" spans="1:14" ht="24" customHeight="1" x14ac:dyDescent="0.2">
      <c r="A6" s="1224"/>
      <c r="B6" s="255" t="s">
        <v>207</v>
      </c>
      <c r="C6" s="922" t="s">
        <v>209</v>
      </c>
      <c r="D6" s="924">
        <f>VEG_DATA!N323</f>
        <v>0</v>
      </c>
      <c r="E6" s="906" t="s">
        <v>183</v>
      </c>
      <c r="F6" s="906" t="s">
        <v>183</v>
      </c>
      <c r="G6" s="906" t="s">
        <v>183</v>
      </c>
      <c r="H6" s="906" t="s">
        <v>183</v>
      </c>
      <c r="I6" s="906" t="s">
        <v>183</v>
      </c>
      <c r="J6" s="906" t="s">
        <v>183</v>
      </c>
      <c r="K6" s="906" t="s">
        <v>183</v>
      </c>
      <c r="L6" s="906" t="s">
        <v>183</v>
      </c>
      <c r="M6" s="906" t="s">
        <v>183</v>
      </c>
      <c r="N6" s="906" t="s">
        <v>183</v>
      </c>
    </row>
    <row r="7" spans="1:14" ht="30" customHeight="1" x14ac:dyDescent="0.2">
      <c r="A7" s="1224"/>
      <c r="B7" s="255"/>
      <c r="C7" s="922" t="s">
        <v>210</v>
      </c>
      <c r="D7" s="924">
        <f>+VEG_DATA!AC324</f>
        <v>0</v>
      </c>
      <c r="E7" s="906" t="s">
        <v>183</v>
      </c>
      <c r="F7" s="906" t="s">
        <v>183</v>
      </c>
      <c r="G7" s="906" t="s">
        <v>183</v>
      </c>
      <c r="H7" s="906" t="s">
        <v>183</v>
      </c>
      <c r="I7" s="906" t="s">
        <v>183</v>
      </c>
      <c r="J7" s="906" t="s">
        <v>183</v>
      </c>
      <c r="K7" s="906" t="s">
        <v>183</v>
      </c>
      <c r="L7" s="906" t="s">
        <v>183</v>
      </c>
      <c r="M7" s="906" t="s">
        <v>183</v>
      </c>
      <c r="N7" s="906" t="s">
        <v>183</v>
      </c>
    </row>
    <row r="8" spans="1:14" ht="61.5" hidden="1" customHeight="1" x14ac:dyDescent="0.2">
      <c r="A8" s="1224"/>
      <c r="B8" s="255"/>
      <c r="C8" s="922" t="s">
        <v>212</v>
      </c>
      <c r="D8" s="253"/>
      <c r="E8" s="148"/>
    </row>
    <row r="9" spans="1:14" ht="54" hidden="1" customHeight="1" x14ac:dyDescent="0.2">
      <c r="A9" s="1224"/>
      <c r="B9" s="255" t="s">
        <v>208</v>
      </c>
      <c r="C9" s="925" t="s">
        <v>213</v>
      </c>
      <c r="D9" s="253">
        <f>IF(VEG_DATA!O7=0, "NA", VEG_DATA!O8)</f>
        <v>20</v>
      </c>
      <c r="E9" s="906" t="s">
        <v>183</v>
      </c>
      <c r="F9" s="906" t="s">
        <v>183</v>
      </c>
      <c r="G9" s="906" t="s">
        <v>183</v>
      </c>
      <c r="H9" s="906" t="s">
        <v>183</v>
      </c>
      <c r="I9" s="906" t="s">
        <v>183</v>
      </c>
      <c r="J9" s="906" t="s">
        <v>183</v>
      </c>
      <c r="K9" s="906" t="s">
        <v>183</v>
      </c>
      <c r="L9" s="906" t="s">
        <v>183</v>
      </c>
      <c r="M9" s="906" t="s">
        <v>183</v>
      </c>
      <c r="N9" s="906" t="s">
        <v>183</v>
      </c>
    </row>
    <row r="10" spans="1:14" ht="30.75" customHeight="1" x14ac:dyDescent="0.2">
      <c r="A10" s="1226" t="s">
        <v>214</v>
      </c>
      <c r="B10" s="255">
        <v>1</v>
      </c>
      <c r="C10" s="926" t="s">
        <v>567</v>
      </c>
      <c r="D10" s="906" t="s">
        <v>183</v>
      </c>
      <c r="E10" s="1124"/>
      <c r="F10" s="1124"/>
      <c r="G10" s="1124"/>
      <c r="H10" s="1124"/>
      <c r="I10" s="1124"/>
      <c r="J10" s="1124"/>
      <c r="K10" s="1124"/>
      <c r="L10" s="1124"/>
      <c r="M10" s="1124"/>
      <c r="N10" s="1124"/>
    </row>
    <row r="11" spans="1:14" ht="32.25" customHeight="1" x14ac:dyDescent="0.2">
      <c r="A11" s="1227"/>
      <c r="B11" s="255">
        <v>2</v>
      </c>
      <c r="C11" s="926" t="s">
        <v>790</v>
      </c>
      <c r="D11" s="906" t="s">
        <v>183</v>
      </c>
      <c r="E11" s="1124"/>
      <c r="F11" s="1124"/>
      <c r="G11" s="1124"/>
      <c r="H11" s="1124"/>
      <c r="I11" s="1124"/>
      <c r="J11" s="1124"/>
      <c r="K11" s="1124"/>
      <c r="L11" s="1124"/>
      <c r="M11" s="1124"/>
      <c r="N11" s="1124"/>
    </row>
    <row r="12" spans="1:14" ht="46.5" customHeight="1" x14ac:dyDescent="0.2">
      <c r="A12" s="1228" t="s">
        <v>7</v>
      </c>
      <c r="B12" s="255">
        <v>3</v>
      </c>
      <c r="C12" s="922" t="s">
        <v>782</v>
      </c>
      <c r="D12" s="906" t="s">
        <v>183</v>
      </c>
      <c r="E12" s="1124"/>
      <c r="F12" s="1124"/>
      <c r="G12" s="1124"/>
      <c r="H12" s="1124"/>
      <c r="I12" s="1124"/>
      <c r="J12" s="1124"/>
      <c r="K12" s="1124"/>
      <c r="L12" s="1124"/>
      <c r="M12" s="1124"/>
      <c r="N12" s="1124"/>
    </row>
    <row r="13" spans="1:14" ht="33.75" customHeight="1" x14ac:dyDescent="0.2">
      <c r="A13" s="1228"/>
      <c r="B13" s="257">
        <v>4</v>
      </c>
      <c r="C13" s="927" t="s">
        <v>791</v>
      </c>
      <c r="D13" s="906" t="s">
        <v>183</v>
      </c>
      <c r="E13" s="1124"/>
      <c r="F13" s="1124"/>
      <c r="G13" s="1124"/>
      <c r="H13" s="1124"/>
      <c r="I13" s="1124"/>
      <c r="J13" s="1124"/>
      <c r="K13" s="1124"/>
      <c r="L13" s="1124"/>
      <c r="M13" s="1124"/>
      <c r="N13" s="1124"/>
    </row>
    <row r="14" spans="1:14" ht="51" customHeight="1" x14ac:dyDescent="0.2">
      <c r="A14" s="1229"/>
      <c r="B14" s="255">
        <v>5</v>
      </c>
      <c r="C14" s="904" t="s">
        <v>792</v>
      </c>
      <c r="D14" s="906" t="s">
        <v>183</v>
      </c>
      <c r="E14" s="1124"/>
      <c r="F14" s="1124"/>
      <c r="G14" s="1124"/>
      <c r="H14" s="1124"/>
      <c r="I14" s="1124"/>
      <c r="J14" s="1124"/>
      <c r="K14" s="1124"/>
      <c r="L14" s="1124"/>
      <c r="M14" s="1124"/>
      <c r="N14" s="1124"/>
    </row>
    <row r="15" spans="1:14" ht="30.75" customHeight="1" x14ac:dyDescent="0.2">
      <c r="A15" s="1228"/>
      <c r="B15" s="258">
        <v>6</v>
      </c>
      <c r="C15" s="928" t="s">
        <v>793</v>
      </c>
      <c r="D15" s="906" t="s">
        <v>183</v>
      </c>
      <c r="E15" s="1124"/>
      <c r="F15" s="1124"/>
      <c r="G15" s="1124"/>
      <c r="H15" s="1124"/>
      <c r="I15" s="1124"/>
      <c r="J15" s="1124"/>
      <c r="K15" s="1124"/>
      <c r="L15" s="1124"/>
      <c r="M15" s="1124"/>
      <c r="N15" s="1124"/>
    </row>
    <row r="16" spans="1:14" ht="52.5" customHeight="1" x14ac:dyDescent="0.2">
      <c r="A16" s="1230"/>
      <c r="B16" s="255">
        <v>7</v>
      </c>
      <c r="C16" s="922" t="s">
        <v>794</v>
      </c>
      <c r="D16" s="906" t="s">
        <v>183</v>
      </c>
      <c r="E16" s="1124"/>
      <c r="F16" s="1124"/>
      <c r="G16" s="1124"/>
      <c r="H16" s="1124"/>
      <c r="I16" s="1124"/>
      <c r="J16" s="1124"/>
      <c r="K16" s="1124"/>
      <c r="L16" s="1124"/>
      <c r="M16" s="1124"/>
      <c r="N16" s="1124"/>
    </row>
    <row r="17" spans="1:14" ht="43.5" customHeight="1" x14ac:dyDescent="0.2">
      <c r="A17" s="1223" t="s">
        <v>219</v>
      </c>
      <c r="B17" s="255">
        <v>8</v>
      </c>
      <c r="C17" s="922" t="s">
        <v>795</v>
      </c>
      <c r="D17" s="906" t="s">
        <v>183</v>
      </c>
      <c r="E17" s="1124"/>
      <c r="F17" s="1124"/>
      <c r="G17" s="1124"/>
      <c r="H17" s="1124"/>
      <c r="I17" s="1124"/>
      <c r="J17" s="1124"/>
      <c r="K17" s="1124"/>
      <c r="L17" s="1124"/>
      <c r="M17" s="1124"/>
      <c r="N17" s="1124"/>
    </row>
    <row r="18" spans="1:14" ht="40.5" customHeight="1" x14ac:dyDescent="0.2">
      <c r="A18" s="1223"/>
      <c r="B18" s="255">
        <v>9</v>
      </c>
      <c r="C18" s="922" t="s">
        <v>797</v>
      </c>
      <c r="D18" s="906" t="s">
        <v>183</v>
      </c>
      <c r="E18" s="1124"/>
      <c r="F18" s="1124"/>
      <c r="G18" s="1124"/>
      <c r="H18" s="1124"/>
      <c r="I18" s="1124"/>
      <c r="J18" s="1124"/>
      <c r="K18" s="1124"/>
      <c r="L18" s="1124"/>
      <c r="M18" s="1124"/>
      <c r="N18" s="1124"/>
    </row>
    <row r="19" spans="1:14" ht="59.25" customHeight="1" x14ac:dyDescent="0.2">
      <c r="A19" s="1223"/>
      <c r="B19" s="255">
        <v>10</v>
      </c>
      <c r="C19" s="922" t="s">
        <v>765</v>
      </c>
      <c r="D19" s="906" t="s">
        <v>183</v>
      </c>
      <c r="E19" s="1124"/>
      <c r="F19" s="1124"/>
      <c r="G19" s="1124"/>
      <c r="H19" s="1124"/>
      <c r="I19" s="1124"/>
      <c r="J19" s="1124"/>
      <c r="K19" s="1124"/>
      <c r="L19" s="1124"/>
      <c r="M19" s="1124"/>
      <c r="N19" s="1124"/>
    </row>
    <row r="20" spans="1:14" ht="33" customHeight="1" x14ac:dyDescent="0.2">
      <c r="A20" s="1223" t="s">
        <v>221</v>
      </c>
      <c r="B20" s="255">
        <v>11</v>
      </c>
      <c r="C20" s="922" t="s">
        <v>766</v>
      </c>
      <c r="D20" s="906" t="s">
        <v>183</v>
      </c>
      <c r="E20" s="1124"/>
      <c r="F20" s="1124"/>
      <c r="G20" s="1124"/>
      <c r="H20" s="1124"/>
      <c r="I20" s="1124"/>
      <c r="J20" s="1124"/>
      <c r="K20" s="1124"/>
      <c r="L20" s="1124"/>
      <c r="M20" s="1124"/>
      <c r="N20" s="1124"/>
    </row>
    <row r="21" spans="1:14" ht="33.75" customHeight="1" x14ac:dyDescent="0.2">
      <c r="A21" s="1223"/>
      <c r="B21" s="255">
        <v>12</v>
      </c>
      <c r="C21" s="922" t="s">
        <v>767</v>
      </c>
      <c r="D21" s="906" t="s">
        <v>183</v>
      </c>
      <c r="E21" s="1124"/>
      <c r="F21" s="1124"/>
      <c r="G21" s="1124"/>
      <c r="H21" s="1124"/>
      <c r="I21" s="1124"/>
      <c r="J21" s="1124"/>
      <c r="K21" s="1124"/>
      <c r="L21" s="1124"/>
      <c r="M21" s="1124"/>
      <c r="N21" s="1124"/>
    </row>
    <row r="22" spans="1:14" ht="27.75" customHeight="1" x14ac:dyDescent="0.2">
      <c r="A22" s="1223"/>
      <c r="B22" s="255">
        <v>13</v>
      </c>
      <c r="C22" s="922" t="s">
        <v>796</v>
      </c>
      <c r="D22" s="906" t="s">
        <v>183</v>
      </c>
      <c r="E22" s="1124"/>
      <c r="F22" s="1124"/>
      <c r="G22" s="1124"/>
      <c r="H22" s="1124"/>
      <c r="I22" s="1124"/>
      <c r="J22" s="1124"/>
      <c r="K22" s="1124"/>
      <c r="L22" s="1124"/>
      <c r="M22" s="1124"/>
      <c r="N22" s="1124"/>
    </row>
    <row r="23" spans="1:14" ht="42" customHeight="1" x14ac:dyDescent="0.2">
      <c r="A23" s="1223"/>
      <c r="B23" s="255">
        <v>14</v>
      </c>
      <c r="C23" s="922" t="s">
        <v>768</v>
      </c>
      <c r="D23" s="906" t="s">
        <v>183</v>
      </c>
      <c r="E23" s="1124"/>
      <c r="F23" s="1124"/>
      <c r="G23" s="1124"/>
      <c r="H23" s="1124"/>
      <c r="I23" s="1124"/>
      <c r="J23" s="1124"/>
      <c r="K23" s="1124"/>
      <c r="L23" s="1124"/>
      <c r="M23" s="1124"/>
      <c r="N23" s="1124"/>
    </row>
    <row r="24" spans="1:14" ht="42.75" customHeight="1" x14ac:dyDescent="0.2">
      <c r="A24" s="1223"/>
      <c r="B24" s="255">
        <v>15</v>
      </c>
      <c r="C24" s="922" t="s">
        <v>769</v>
      </c>
      <c r="D24" s="906" t="s">
        <v>183</v>
      </c>
      <c r="E24" s="1124"/>
      <c r="F24" s="1124"/>
      <c r="G24" s="1124"/>
      <c r="H24" s="1124"/>
      <c r="I24" s="1124"/>
      <c r="J24" s="1124"/>
      <c r="K24" s="1124"/>
      <c r="L24" s="1124"/>
      <c r="M24" s="1124"/>
      <c r="N24" s="1124"/>
    </row>
    <row r="25" spans="1:14" x14ac:dyDescent="0.2">
      <c r="A25" s="112"/>
      <c r="B25" s="256"/>
      <c r="C25" s="921"/>
      <c r="D25" s="245"/>
      <c r="E25" s="58"/>
      <c r="F25" s="25"/>
      <c r="G25" s="25"/>
      <c r="H25" s="25"/>
      <c r="I25" s="25"/>
      <c r="J25" s="25"/>
      <c r="K25" s="25"/>
      <c r="L25" s="25"/>
      <c r="M25" s="25"/>
      <c r="N25" s="25"/>
    </row>
    <row r="26" spans="1:14" s="25" customFormat="1" x14ac:dyDescent="0.2">
      <c r="A26" s="112"/>
      <c r="B26" s="256"/>
      <c r="C26" s="921"/>
      <c r="D26" s="245"/>
      <c r="E26" s="58"/>
    </row>
    <row r="27" spans="1:14" s="25" customFormat="1" x14ac:dyDescent="0.2">
      <c r="A27" s="112"/>
      <c r="B27" s="256"/>
      <c r="C27" s="921"/>
      <c r="D27" s="245"/>
      <c r="E27" s="58"/>
    </row>
    <row r="28" spans="1:14" s="25" customFormat="1" x14ac:dyDescent="0.2">
      <c r="A28" s="112"/>
      <c r="B28" s="256"/>
      <c r="C28" s="35"/>
      <c r="D28" s="245"/>
      <c r="E28" s="58"/>
    </row>
    <row r="29" spans="1:14" s="25" customFormat="1" x14ac:dyDescent="0.2">
      <c r="A29" s="112"/>
      <c r="B29" s="256"/>
      <c r="C29" s="921"/>
      <c r="D29" s="245"/>
      <c r="E29" s="58"/>
    </row>
    <row r="30" spans="1:14" s="25" customFormat="1" x14ac:dyDescent="0.2">
      <c r="A30" s="35"/>
      <c r="B30" s="240"/>
      <c r="C30" s="35"/>
      <c r="D30" s="240"/>
      <c r="E30" s="59"/>
      <c r="F30" s="19"/>
      <c r="G30" s="19"/>
      <c r="H30" s="19"/>
      <c r="I30" s="19"/>
      <c r="J30" s="19"/>
      <c r="K30" s="19"/>
      <c r="L30" s="19"/>
      <c r="M30" s="19"/>
      <c r="N30" s="19"/>
    </row>
    <row r="31" spans="1:14" x14ac:dyDescent="0.2">
      <c r="A31" s="35"/>
      <c r="B31" s="240"/>
      <c r="C31" s="35"/>
      <c r="D31" s="240"/>
    </row>
  </sheetData>
  <mergeCells count="7">
    <mergeCell ref="A17:A19"/>
    <mergeCell ref="A20:A24"/>
    <mergeCell ref="A5:A9"/>
    <mergeCell ref="C2:D2"/>
    <mergeCell ref="A3:N3"/>
    <mergeCell ref="A10:A11"/>
    <mergeCell ref="A12:A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V43"/>
  <sheetViews>
    <sheetView zoomScale="70" zoomScaleNormal="70" workbookViewId="0">
      <selection activeCell="Y24" sqref="Y24"/>
    </sheetView>
  </sheetViews>
  <sheetFormatPr defaultColWidth="9.140625" defaultRowHeight="12.75" x14ac:dyDescent="0.2"/>
  <cols>
    <col min="1" max="1" width="7.140625" style="77" customWidth="1"/>
    <col min="2" max="2" width="14.28515625" style="332" customWidth="1"/>
    <col min="3" max="3" width="51.85546875" style="77" customWidth="1"/>
    <col min="4" max="4" width="11.28515625" style="78" customWidth="1"/>
    <col min="5" max="5" width="14.140625" style="323" customWidth="1"/>
    <col min="6" max="6" width="11.28515625" style="78" customWidth="1"/>
    <col min="7" max="7" width="8.85546875" style="25" customWidth="1"/>
    <col min="8" max="8" width="11.7109375" style="25" bestFit="1" customWidth="1"/>
    <col min="9" max="9" width="9.140625" style="25"/>
    <col min="10" max="10" width="8" style="25" customWidth="1"/>
    <col min="11" max="16384" width="9.140625" style="25"/>
  </cols>
  <sheetData>
    <row r="1" spans="1:100" ht="51" customHeight="1" thickBot="1" x14ac:dyDescent="0.25">
      <c r="A1" s="1231" t="s">
        <v>655</v>
      </c>
      <c r="B1" s="1231"/>
      <c r="C1" s="1231"/>
      <c r="D1" s="1231"/>
      <c r="E1" s="1231"/>
      <c r="F1" s="1231"/>
      <c r="H1" s="111"/>
      <c r="I1" s="111"/>
      <c r="J1" s="111"/>
      <c r="K1" s="111"/>
      <c r="L1" s="111"/>
    </row>
    <row r="2" spans="1:100" customFormat="1" ht="12.75" customHeight="1" x14ac:dyDescent="0.2">
      <c r="A2" s="1210" t="s">
        <v>226</v>
      </c>
      <c r="B2" s="1211"/>
      <c r="C2" s="1212"/>
      <c r="D2" s="878" t="s">
        <v>710</v>
      </c>
      <c r="E2" s="879"/>
      <c r="F2" s="929">
        <f>VEG_DATA!AA325</f>
        <v>0</v>
      </c>
      <c r="G2" s="25"/>
      <c r="H2" s="111"/>
      <c r="I2" s="111"/>
      <c r="J2" s="111"/>
      <c r="K2" s="111"/>
      <c r="L2" s="111"/>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870"/>
      <c r="AL2" s="870"/>
      <c r="AM2" s="870"/>
      <c r="AN2" s="870"/>
      <c r="AO2" s="870"/>
      <c r="AP2" s="870"/>
      <c r="AQ2" s="870"/>
      <c r="AR2" s="870"/>
      <c r="AS2" s="870"/>
      <c r="AT2" s="870"/>
      <c r="AU2" s="870"/>
      <c r="AV2" s="870"/>
      <c r="AW2" s="870"/>
      <c r="AX2" s="870"/>
      <c r="AY2" s="870"/>
      <c r="AZ2" s="870"/>
      <c r="BA2" s="870"/>
      <c r="BB2" s="870"/>
      <c r="BC2" s="870"/>
      <c r="BD2" s="870"/>
      <c r="BE2" s="870"/>
      <c r="BF2" s="870"/>
      <c r="BG2" s="870"/>
      <c r="BH2" s="870"/>
      <c r="BI2" s="870"/>
      <c r="BJ2" s="870"/>
      <c r="BK2" s="870"/>
      <c r="BL2" s="870"/>
      <c r="BM2" s="870"/>
      <c r="BN2" s="870"/>
      <c r="BO2" s="870"/>
      <c r="BP2" s="870"/>
      <c r="BQ2" s="870"/>
      <c r="BR2" s="870"/>
      <c r="BS2" s="870"/>
      <c r="BT2" s="870"/>
      <c r="BU2" s="870"/>
      <c r="BV2" s="870"/>
      <c r="BW2" s="870"/>
      <c r="BX2" s="870"/>
      <c r="BY2" s="870"/>
      <c r="BZ2" s="870"/>
      <c r="CA2" s="870"/>
      <c r="CB2" s="870"/>
      <c r="CC2" s="870"/>
      <c r="CD2" s="870"/>
      <c r="CE2" s="870"/>
      <c r="CF2" s="870"/>
      <c r="CG2" s="870"/>
      <c r="CH2" s="870"/>
      <c r="CI2" s="870"/>
      <c r="CJ2" s="870"/>
      <c r="CK2" s="870"/>
      <c r="CL2" s="870"/>
      <c r="CM2" s="870"/>
      <c r="CN2" s="870"/>
      <c r="CO2" s="870"/>
      <c r="CP2" s="870"/>
      <c r="CQ2" s="870"/>
      <c r="CR2" s="870"/>
      <c r="CS2" s="870"/>
      <c r="CT2" s="870"/>
      <c r="CU2" s="870"/>
      <c r="CV2" s="870"/>
    </row>
    <row r="3" spans="1:100" s="880" customFormat="1" ht="13.5" customHeight="1" thickBot="1" x14ac:dyDescent="0.25">
      <c r="A3" s="1213"/>
      <c r="B3" s="1214"/>
      <c r="C3" s="1215"/>
      <c r="D3" s="930" t="s">
        <v>774</v>
      </c>
      <c r="E3" s="931"/>
      <c r="F3" s="932">
        <f>+FISH_FIELD!D6</f>
        <v>0</v>
      </c>
      <c r="H3" s="111"/>
      <c r="I3" s="111"/>
      <c r="J3" s="111"/>
      <c r="K3" s="111"/>
      <c r="L3" s="111"/>
      <c r="M3" s="870"/>
      <c r="N3" s="870"/>
      <c r="O3" s="870"/>
      <c r="P3" s="870"/>
      <c r="Q3" s="870"/>
      <c r="R3" s="870"/>
      <c r="S3" s="870"/>
      <c r="T3" s="870"/>
      <c r="U3" s="870"/>
      <c r="V3" s="870"/>
      <c r="W3" s="870"/>
      <c r="X3" s="870"/>
      <c r="Y3" s="870"/>
      <c r="Z3" s="870"/>
      <c r="AA3" s="870"/>
      <c r="AB3" s="870"/>
      <c r="AC3" s="870"/>
      <c r="AD3" s="870"/>
      <c r="AE3" s="870"/>
      <c r="AF3" s="870"/>
      <c r="AG3" s="870"/>
      <c r="AH3" s="870"/>
      <c r="AI3" s="870"/>
      <c r="AJ3" s="870"/>
      <c r="AK3" s="870"/>
      <c r="AL3" s="870"/>
      <c r="AM3" s="870"/>
      <c r="AN3" s="870"/>
      <c r="AO3" s="870"/>
      <c r="AP3" s="870"/>
      <c r="AQ3" s="870"/>
      <c r="AR3" s="870"/>
      <c r="AS3" s="870"/>
      <c r="AT3" s="870"/>
      <c r="AU3" s="870"/>
      <c r="AV3" s="870"/>
      <c r="AW3" s="870"/>
      <c r="AX3" s="870"/>
      <c r="AY3" s="870"/>
      <c r="AZ3" s="870"/>
      <c r="BA3" s="870"/>
      <c r="BB3" s="870"/>
      <c r="BC3" s="870"/>
      <c r="BD3" s="870"/>
      <c r="BE3" s="870"/>
      <c r="BF3" s="870"/>
      <c r="BG3" s="870"/>
      <c r="BH3" s="870"/>
      <c r="BI3" s="870"/>
      <c r="BJ3" s="870"/>
      <c r="BK3" s="870"/>
      <c r="BL3" s="870"/>
      <c r="BM3" s="870"/>
      <c r="BN3" s="870"/>
      <c r="BO3" s="870"/>
      <c r="BP3" s="870"/>
      <c r="BQ3" s="870"/>
      <c r="BR3" s="870"/>
      <c r="BS3" s="870"/>
      <c r="BT3" s="870"/>
      <c r="BU3" s="870"/>
      <c r="BV3" s="870"/>
      <c r="BW3" s="870"/>
      <c r="BX3" s="870"/>
      <c r="BY3" s="870"/>
      <c r="BZ3" s="870"/>
      <c r="CA3" s="870"/>
      <c r="CB3" s="870"/>
      <c r="CC3" s="870"/>
      <c r="CD3" s="870"/>
      <c r="CE3" s="870"/>
      <c r="CF3" s="870"/>
      <c r="CG3" s="870"/>
      <c r="CH3" s="870"/>
      <c r="CI3" s="870"/>
      <c r="CJ3" s="870"/>
      <c r="CK3" s="870"/>
      <c r="CL3" s="870"/>
      <c r="CM3" s="870"/>
      <c r="CN3" s="870"/>
      <c r="CO3" s="870"/>
      <c r="CP3" s="870"/>
      <c r="CQ3" s="870"/>
      <c r="CR3" s="870"/>
      <c r="CS3" s="870"/>
      <c r="CT3" s="870"/>
      <c r="CU3" s="870"/>
      <c r="CV3" s="870"/>
    </row>
    <row r="4" spans="1:100" s="881" customFormat="1" ht="69" customHeight="1" thickBot="1" x14ac:dyDescent="0.25">
      <c r="A4" s="933"/>
      <c r="B4" s="934" t="s">
        <v>32</v>
      </c>
      <c r="C4" s="935" t="s">
        <v>30</v>
      </c>
      <c r="D4" s="934" t="s">
        <v>35</v>
      </c>
      <c r="E4" s="934" t="s">
        <v>31</v>
      </c>
      <c r="F4" s="936" t="s">
        <v>773</v>
      </c>
      <c r="H4" s="111"/>
      <c r="I4" s="111"/>
      <c r="J4" s="111"/>
      <c r="K4" s="111"/>
      <c r="L4" s="111"/>
    </row>
    <row r="5" spans="1:100" s="2" customFormat="1" ht="16.5" customHeight="1" x14ac:dyDescent="0.2">
      <c r="A5" s="307"/>
      <c r="B5" s="307"/>
      <c r="C5" s="307" t="s">
        <v>176</v>
      </c>
      <c r="D5" s="872"/>
      <c r="E5" s="872"/>
      <c r="F5" s="872"/>
      <c r="H5" s="111"/>
      <c r="I5" s="111"/>
      <c r="J5" s="111"/>
      <c r="K5" s="111"/>
      <c r="L5" s="111"/>
    </row>
    <row r="6" spans="1:100" s="2" customFormat="1" ht="16.5" customHeight="1" x14ac:dyDescent="0.2">
      <c r="A6" s="307"/>
      <c r="B6" s="307"/>
      <c r="C6" s="307" t="s">
        <v>763</v>
      </c>
      <c r="D6" s="872"/>
      <c r="E6" s="920">
        <f>VEG_DATA!AE324</f>
        <v>0</v>
      </c>
      <c r="F6" s="872"/>
      <c r="H6" s="111"/>
      <c r="I6" s="111"/>
      <c r="J6" s="111"/>
      <c r="K6" s="111"/>
      <c r="L6" s="111"/>
    </row>
    <row r="7" spans="1:100" s="109" customFormat="1" ht="44.25" customHeight="1" x14ac:dyDescent="0.2">
      <c r="A7" s="1233" t="s">
        <v>437</v>
      </c>
      <c r="B7" s="324">
        <v>1</v>
      </c>
      <c r="C7" s="63" t="s">
        <v>227</v>
      </c>
      <c r="D7" s="1111">
        <v>2</v>
      </c>
      <c r="E7" s="1111">
        <f>FISH_OFFICE!D7</f>
        <v>0</v>
      </c>
      <c r="F7" s="1111">
        <f>+E7*D7</f>
        <v>0</v>
      </c>
      <c r="I7" s="110"/>
      <c r="J7" s="111"/>
      <c r="K7" s="110"/>
      <c r="L7" s="110"/>
    </row>
    <row r="8" spans="1:100" s="109" customFormat="1" ht="44.25" customHeight="1" x14ac:dyDescent="0.2">
      <c r="A8" s="1234"/>
      <c r="B8" s="324">
        <v>2</v>
      </c>
      <c r="C8" s="63" t="s">
        <v>528</v>
      </c>
      <c r="D8" s="1111">
        <f>IF(E8=1,1,0)</f>
        <v>0</v>
      </c>
      <c r="E8" s="1111">
        <f>FISH_OFFICE!D8</f>
        <v>0</v>
      </c>
      <c r="F8" s="1111">
        <f>+E8*D8</f>
        <v>0</v>
      </c>
      <c r="I8" s="110"/>
      <c r="J8" s="111"/>
      <c r="K8" s="110"/>
      <c r="L8" s="110"/>
    </row>
    <row r="9" spans="1:100" x14ac:dyDescent="0.2">
      <c r="A9" s="64"/>
      <c r="B9" s="295"/>
      <c r="C9" s="333" t="s">
        <v>175</v>
      </c>
      <c r="D9" s="150">
        <f>+SUM(D7:D8)</f>
        <v>2</v>
      </c>
      <c r="E9" s="150"/>
      <c r="F9" s="998">
        <f>+(SUM(F7:F8))/D9</f>
        <v>0</v>
      </c>
    </row>
    <row r="10" spans="1:100" s="108" customFormat="1" ht="23.25" customHeight="1" x14ac:dyDescent="0.2">
      <c r="A10" s="65"/>
      <c r="B10" s="325"/>
      <c r="C10" s="334"/>
      <c r="D10" s="67"/>
      <c r="E10" s="67"/>
      <c r="F10" s="66"/>
      <c r="H10" s="110"/>
      <c r="I10" s="25"/>
      <c r="J10" s="25"/>
    </row>
    <row r="11" spans="1:100" customFormat="1" ht="16.5" customHeight="1" x14ac:dyDescent="0.2">
      <c r="A11" s="8"/>
      <c r="B11" s="308"/>
      <c r="C11" s="309" t="s">
        <v>658</v>
      </c>
      <c r="D11" s="310"/>
      <c r="E11" s="310"/>
      <c r="F11" s="310"/>
      <c r="G11" s="25"/>
      <c r="H11" s="109"/>
      <c r="I11" s="109"/>
      <c r="J11" s="109"/>
    </row>
    <row r="12" spans="1:100" ht="34.5" customHeight="1" x14ac:dyDescent="0.2">
      <c r="A12" s="1235" t="s">
        <v>23</v>
      </c>
      <c r="B12" s="326" t="s">
        <v>207</v>
      </c>
      <c r="C12" s="68" t="s">
        <v>551</v>
      </c>
      <c r="D12" s="1109">
        <v>1</v>
      </c>
      <c r="E12" s="1109">
        <f>FISH_FIELD!D7</f>
        <v>0</v>
      </c>
      <c r="F12" s="1110">
        <f>IF(E12=0,0,(D12*(IF(E12/E6&lt;0.051,0.01,IF(E12/E6&lt;0.11,0.1,IF(E12/E6&lt;0.251,0.25,IF(E12/E6&lt;0.51,0.5,IF(E12/E6&lt;0.751,0.75,1))))))))</f>
        <v>0</v>
      </c>
    </row>
    <row r="13" spans="1:100" ht="51" customHeight="1" x14ac:dyDescent="0.2">
      <c r="A13" s="1235"/>
      <c r="B13" s="326" t="s">
        <v>208</v>
      </c>
      <c r="C13" s="68" t="s">
        <v>552</v>
      </c>
      <c r="D13" s="1109">
        <v>4</v>
      </c>
      <c r="E13" s="1112">
        <f>0.00000247105*SUM(FISH_FIELD!E11*VEG_DATA!S313+FISH_FIELD!F11*VEG_DATA!S314+FISH_FIELD!G11*VEG_DATA!S315+FISH_FIELD!H11*VEG_DATA!S316+FISH_FIELD!I11*VEG_DATA!S317+FISH_FIELD!J11*VEG_DATA!S318+FISH_FIELD!K11*VEG_DATA!S319+FISH_FIELD!L11*VEG_DATA!T320+FISH_FIELD!M11*VEG_DATA!S321+FISH_FIELD!N11*VEG_DATA!S322)</f>
        <v>0</v>
      </c>
      <c r="F13" s="1110">
        <f>IF(E13=0,0,D13*(IF(E13/E6&lt;0.051,0.01,IF(E13/E6&lt;0.11,0.1,IF(E13/E6&lt;0.251,0.25,IF(E13/E6&lt;0.51,0.5,IF(E13/E6&lt;0.751,0.75,1)))))))</f>
        <v>0</v>
      </c>
    </row>
    <row r="14" spans="1:100" s="109" customFormat="1" ht="18" customHeight="1" thickBot="1" x14ac:dyDescent="0.25">
      <c r="A14" s="70"/>
      <c r="B14" s="311"/>
      <c r="C14" s="335" t="s">
        <v>656</v>
      </c>
      <c r="D14" s="1113">
        <f>+SUM(D12:D13)</f>
        <v>5</v>
      </c>
      <c r="E14" s="940"/>
      <c r="F14" s="941">
        <f>(SUM(F12:F13))/D14</f>
        <v>0</v>
      </c>
    </row>
    <row r="15" spans="1:100" customFormat="1" ht="27.75" customHeight="1" thickBot="1" x14ac:dyDescent="0.25">
      <c r="A15" s="755"/>
      <c r="B15" s="882"/>
      <c r="C15" s="882" t="s">
        <v>657</v>
      </c>
      <c r="D15" s="898"/>
      <c r="E15" s="882"/>
      <c r="F15" s="882"/>
      <c r="G15" s="882"/>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row>
    <row r="16" spans="1:100" customFormat="1" ht="16.5" customHeight="1" thickBot="1" x14ac:dyDescent="0.25">
      <c r="A16" s="755"/>
      <c r="B16" s="883"/>
      <c r="C16" s="884" t="s">
        <v>776</v>
      </c>
      <c r="D16" s="899"/>
      <c r="E16" s="885">
        <v>1</v>
      </c>
      <c r="F16" s="995">
        <f>+VEG_DATA!$AE313</f>
        <v>0</v>
      </c>
      <c r="G16" s="886"/>
      <c r="H16" s="885">
        <v>2</v>
      </c>
      <c r="I16" s="995">
        <f>+VEG_DATA!$AE314</f>
        <v>0</v>
      </c>
      <c r="J16" s="886"/>
      <c r="K16" s="885">
        <v>3</v>
      </c>
      <c r="L16" s="995">
        <f>+VEG_DATA!$AE315</f>
        <v>0</v>
      </c>
      <c r="M16" s="887"/>
      <c r="N16" s="885">
        <v>4</v>
      </c>
      <c r="O16" s="995">
        <f>+VEG_DATA!$AE316</f>
        <v>0</v>
      </c>
      <c r="P16" s="887"/>
      <c r="Q16" s="885">
        <v>5</v>
      </c>
      <c r="R16" s="995">
        <f>+VEG_DATA!$AE317</f>
        <v>0</v>
      </c>
      <c r="S16" s="889"/>
      <c r="T16" s="885">
        <v>6</v>
      </c>
      <c r="U16" s="995">
        <f>+VEG_DATA!$AE318</f>
        <v>0</v>
      </c>
      <c r="V16" s="889"/>
      <c r="W16" s="885">
        <v>7</v>
      </c>
      <c r="X16" s="995">
        <f>+VEG_DATA!$AE319</f>
        <v>0</v>
      </c>
      <c r="Y16" s="889"/>
      <c r="Z16" s="885">
        <v>8</v>
      </c>
      <c r="AA16" s="995">
        <f>+VEG_DATA!$AE320</f>
        <v>0</v>
      </c>
      <c r="AB16" s="889"/>
      <c r="AC16" s="885">
        <v>9</v>
      </c>
      <c r="AD16" s="995">
        <f>+VEG_DATA!$AE321</f>
        <v>0</v>
      </c>
      <c r="AE16" s="889"/>
      <c r="AF16" s="885">
        <v>10</v>
      </c>
      <c r="AG16" s="995">
        <f>+VEG_DATA!$AE322</f>
        <v>0</v>
      </c>
      <c r="AH16" s="889"/>
    </row>
    <row r="17" spans="1:34" customFormat="1" ht="60" customHeight="1" thickBot="1" x14ac:dyDescent="0.25">
      <c r="A17" s="18"/>
      <c r="B17" s="883" t="s">
        <v>713</v>
      </c>
      <c r="C17" s="890" t="s">
        <v>30</v>
      </c>
      <c r="D17" s="900" t="s">
        <v>35</v>
      </c>
      <c r="E17" s="891" t="s">
        <v>697</v>
      </c>
      <c r="F17" s="892" t="s">
        <v>711</v>
      </c>
      <c r="G17" s="892" t="s">
        <v>712</v>
      </c>
      <c r="H17" s="891" t="s">
        <v>697</v>
      </c>
      <c r="I17" s="892" t="s">
        <v>711</v>
      </c>
      <c r="J17" s="892" t="s">
        <v>712</v>
      </c>
      <c r="K17" s="891" t="s">
        <v>697</v>
      </c>
      <c r="L17" s="892" t="s">
        <v>711</v>
      </c>
      <c r="M17" s="892" t="s">
        <v>712</v>
      </c>
      <c r="N17" s="891" t="s">
        <v>697</v>
      </c>
      <c r="O17" s="892" t="s">
        <v>711</v>
      </c>
      <c r="P17" s="892" t="s">
        <v>712</v>
      </c>
      <c r="Q17" s="891" t="s">
        <v>697</v>
      </c>
      <c r="R17" s="892" t="s">
        <v>711</v>
      </c>
      <c r="S17" s="892" t="s">
        <v>712</v>
      </c>
      <c r="T17" s="891" t="s">
        <v>697</v>
      </c>
      <c r="U17" s="892" t="s">
        <v>711</v>
      </c>
      <c r="V17" s="892" t="s">
        <v>712</v>
      </c>
      <c r="W17" s="891" t="s">
        <v>697</v>
      </c>
      <c r="X17" s="892" t="s">
        <v>711</v>
      </c>
      <c r="Y17" s="892" t="s">
        <v>712</v>
      </c>
      <c r="Z17" s="891" t="s">
        <v>697</v>
      </c>
      <c r="AA17" s="892" t="s">
        <v>711</v>
      </c>
      <c r="AB17" s="892" t="s">
        <v>712</v>
      </c>
      <c r="AC17" s="891" t="s">
        <v>697</v>
      </c>
      <c r="AD17" s="892" t="s">
        <v>711</v>
      </c>
      <c r="AE17" s="892" t="s">
        <v>712</v>
      </c>
      <c r="AF17" s="891" t="s">
        <v>697</v>
      </c>
      <c r="AG17" s="892" t="s">
        <v>711</v>
      </c>
      <c r="AH17" s="892" t="s">
        <v>712</v>
      </c>
    </row>
    <row r="18" spans="1:34" s="1123" customFormat="1" ht="21" customHeight="1" x14ac:dyDescent="0.2">
      <c r="A18" s="1132"/>
      <c r="B18" s="1128"/>
      <c r="C18" s="1126" t="s">
        <v>429</v>
      </c>
      <c r="D18" s="1130"/>
      <c r="E18" s="1085" t="str">
        <f>IF(VEG_DATA!A13="","",VEG_DATA!A13)</f>
        <v/>
      </c>
      <c r="F18" s="1085"/>
      <c r="G18" s="1085"/>
      <c r="H18" s="1085" t="str">
        <f>IF(VEG_DATA!A43="","",VEG_DATA!A43)</f>
        <v/>
      </c>
      <c r="I18" s="1085"/>
      <c r="J18" s="1085"/>
      <c r="K18" s="1085" t="str">
        <f>IF(VEG_DATA!A73="","",VEG_DATA!A73)</f>
        <v/>
      </c>
      <c r="L18" s="1131" t="s">
        <v>27</v>
      </c>
      <c r="M18" s="1131" t="s">
        <v>27</v>
      </c>
      <c r="N18" s="1085" t="str">
        <f>IF(VEG_DATA!A103="","",VEG_DATA!A103)</f>
        <v/>
      </c>
      <c r="O18" s="1085"/>
      <c r="P18" s="1085"/>
      <c r="Q18" s="1085" t="str">
        <f>IF(VEG_DATA!A133="","",VEG_DATA!A133)</f>
        <v/>
      </c>
      <c r="R18" s="1085"/>
      <c r="S18" s="1085"/>
      <c r="T18" s="1085" t="str">
        <f>IF(VEG_DATA!A163="","",VEG_DATA!A163)</f>
        <v/>
      </c>
      <c r="U18" s="1085"/>
      <c r="V18" s="1085"/>
      <c r="W18" s="1085" t="str">
        <f>IF(VEG_DATA!A193="","",VEG_DATA!A193)</f>
        <v/>
      </c>
      <c r="X18" s="1085"/>
      <c r="Y18" s="1085"/>
      <c r="Z18" s="1085" t="str">
        <f>IF(VEG_DATA!A223="","",VEG_DATA!A223)</f>
        <v/>
      </c>
      <c r="AA18" s="1085"/>
      <c r="AB18" s="1085"/>
      <c r="AC18" s="1085" t="str">
        <f>IF(VEG_DATA!A253="","",VEG_DATA!A253)</f>
        <v/>
      </c>
      <c r="AD18" s="1085"/>
      <c r="AE18" s="1085"/>
      <c r="AF18" s="1085" t="str">
        <f>IF(VEG_DATA!A283="","",VEG_DATA!A283)</f>
        <v/>
      </c>
      <c r="AG18" s="1085"/>
      <c r="AH18" s="1085"/>
    </row>
    <row r="19" spans="1:34" ht="33" customHeight="1" x14ac:dyDescent="0.2">
      <c r="A19" s="1236" t="s">
        <v>228</v>
      </c>
      <c r="B19" s="750">
        <v>1</v>
      </c>
      <c r="C19" s="714" t="s">
        <v>215</v>
      </c>
      <c r="D19" s="716">
        <v>1</v>
      </c>
      <c r="E19" s="979">
        <f>VEG_DATA!$AD313/100</f>
        <v>0</v>
      </c>
      <c r="F19" s="979">
        <f>+E19</f>
        <v>0</v>
      </c>
      <c r="G19" s="716">
        <f>+$D$19*F19</f>
        <v>0</v>
      </c>
      <c r="H19" s="979">
        <f>VEG_DATA!$AD314/100</f>
        <v>0</v>
      </c>
      <c r="I19" s="979">
        <f>+H19</f>
        <v>0</v>
      </c>
      <c r="J19" s="716">
        <f>+$D$19*I19</f>
        <v>0</v>
      </c>
      <c r="K19" s="979">
        <f>VEG_DATA!$AD315/100</f>
        <v>0</v>
      </c>
      <c r="L19" s="979">
        <f>+K19</f>
        <v>0</v>
      </c>
      <c r="M19" s="716">
        <f>+$D$19*L19</f>
        <v>0</v>
      </c>
      <c r="N19" s="979">
        <f>VEG_DATA!$AD316/100</f>
        <v>0</v>
      </c>
      <c r="O19" s="979">
        <f>+N19</f>
        <v>0</v>
      </c>
      <c r="P19" s="716">
        <f>+$D$19*O19</f>
        <v>0</v>
      </c>
      <c r="Q19" s="979">
        <f>VEG_DATA!$AD317/100</f>
        <v>0</v>
      </c>
      <c r="R19" s="979">
        <f>+Q19</f>
        <v>0</v>
      </c>
      <c r="S19" s="716">
        <f>+$D$19*R19</f>
        <v>0</v>
      </c>
      <c r="T19" s="979">
        <f>VEG_DATA!$AD318/100</f>
        <v>0</v>
      </c>
      <c r="U19" s="979">
        <f>+T19</f>
        <v>0</v>
      </c>
      <c r="V19" s="716">
        <f>+$D$19*U19</f>
        <v>0</v>
      </c>
      <c r="W19" s="979">
        <f>VEG_DATA!$AD319/100</f>
        <v>0</v>
      </c>
      <c r="X19" s="979">
        <f>+W19</f>
        <v>0</v>
      </c>
      <c r="Y19" s="716">
        <f>+$D$19*X19</f>
        <v>0</v>
      </c>
      <c r="Z19" s="979">
        <f>VEG_DATA!$AD320/100</f>
        <v>0</v>
      </c>
      <c r="AA19" s="979">
        <f>+Z19</f>
        <v>0</v>
      </c>
      <c r="AB19" s="716">
        <f>+$D$19*AA19</f>
        <v>0</v>
      </c>
      <c r="AC19" s="979">
        <f>VEG_DATA!$AD321/100</f>
        <v>0</v>
      </c>
      <c r="AD19" s="979">
        <f>+AC19</f>
        <v>0</v>
      </c>
      <c r="AE19" s="716">
        <f>+$D$19*AD19</f>
        <v>0</v>
      </c>
      <c r="AF19" s="979">
        <f>VEG_DATA!$AD322/100</f>
        <v>0</v>
      </c>
      <c r="AG19" s="979">
        <f>+AF19</f>
        <v>0</v>
      </c>
      <c r="AH19" s="716">
        <f>+$D$19*AG19</f>
        <v>0</v>
      </c>
    </row>
    <row r="20" spans="1:34" ht="30" customHeight="1" x14ac:dyDescent="0.2">
      <c r="A20" s="1237"/>
      <c r="B20" s="750">
        <v>2</v>
      </c>
      <c r="C20" s="714" t="s">
        <v>216</v>
      </c>
      <c r="D20" s="715">
        <v>10</v>
      </c>
      <c r="E20" s="980">
        <f>FISH_FIELD!$E11/100</f>
        <v>0</v>
      </c>
      <c r="F20" s="980">
        <f>E20</f>
        <v>0</v>
      </c>
      <c r="G20" s="715">
        <f>+$D$20*F20</f>
        <v>0</v>
      </c>
      <c r="H20" s="980">
        <f>FISH_FIELD!$F11/100</f>
        <v>0</v>
      </c>
      <c r="I20" s="980">
        <f>H20</f>
        <v>0</v>
      </c>
      <c r="J20" s="715">
        <f>+$D$20*I20</f>
        <v>0</v>
      </c>
      <c r="K20" s="980">
        <f>FISH_FIELD!$G11/100</f>
        <v>0</v>
      </c>
      <c r="L20" s="980">
        <f>K20</f>
        <v>0</v>
      </c>
      <c r="M20" s="715">
        <f>+$D$20*L20</f>
        <v>0</v>
      </c>
      <c r="N20" s="980">
        <f>FISH_FIELD!$H11/100</f>
        <v>0</v>
      </c>
      <c r="O20" s="980">
        <f>N20</f>
        <v>0</v>
      </c>
      <c r="P20" s="715">
        <f>+$D$20*O20</f>
        <v>0</v>
      </c>
      <c r="Q20" s="980">
        <f>FISH_FIELD!$I11/100</f>
        <v>0</v>
      </c>
      <c r="R20" s="980">
        <f>Q20</f>
        <v>0</v>
      </c>
      <c r="S20" s="715">
        <f>+$D$20*R20</f>
        <v>0</v>
      </c>
      <c r="T20" s="980">
        <f>FISH_FIELD!$J11/100</f>
        <v>0</v>
      </c>
      <c r="U20" s="980">
        <f>T20</f>
        <v>0</v>
      </c>
      <c r="V20" s="715">
        <f>+$D$20*U20</f>
        <v>0</v>
      </c>
      <c r="W20" s="980">
        <f>FISH_FIELD!$K11/100</f>
        <v>0</v>
      </c>
      <c r="X20" s="980">
        <f>W20</f>
        <v>0</v>
      </c>
      <c r="Y20" s="715">
        <f>+$D$20*X20</f>
        <v>0</v>
      </c>
      <c r="Z20" s="980">
        <f>FISH_FIELD!$L11/100</f>
        <v>0</v>
      </c>
      <c r="AA20" s="980">
        <f>Z20</f>
        <v>0</v>
      </c>
      <c r="AB20" s="715">
        <f>+$D$20*AA20</f>
        <v>0</v>
      </c>
      <c r="AC20" s="980">
        <f>FISH_FIELD!$M11/100</f>
        <v>0</v>
      </c>
      <c r="AD20" s="980">
        <f>AC20</f>
        <v>0</v>
      </c>
      <c r="AE20" s="715">
        <f>+$D$20*AD20</f>
        <v>0</v>
      </c>
      <c r="AF20" s="980">
        <f>FISH_FIELD!$N11/100</f>
        <v>0</v>
      </c>
      <c r="AG20" s="980">
        <f>AF20</f>
        <v>0</v>
      </c>
      <c r="AH20" s="715">
        <f>+$D$20*AG20</f>
        <v>0</v>
      </c>
    </row>
    <row r="21" spans="1:34" s="142" customFormat="1" ht="31.5" customHeight="1" x14ac:dyDescent="0.2">
      <c r="A21" s="1238"/>
      <c r="B21" s="718" t="s">
        <v>229</v>
      </c>
      <c r="C21" s="719"/>
      <c r="D21" s="942">
        <f>SUM(D19:D20)</f>
        <v>11</v>
      </c>
      <c r="E21" s="720"/>
      <c r="F21" s="720"/>
      <c r="G21" s="981">
        <f>(SUM(G19:G20)/$D21)</f>
        <v>0</v>
      </c>
      <c r="H21" s="720"/>
      <c r="I21" s="720"/>
      <c r="J21" s="981">
        <f>(SUM(J19:J20)/$D21)</f>
        <v>0</v>
      </c>
      <c r="K21" s="720"/>
      <c r="L21" s="720"/>
      <c r="M21" s="981">
        <f>(SUM(M19:M20)/$D21)</f>
        <v>0</v>
      </c>
      <c r="N21" s="720"/>
      <c r="O21" s="720"/>
      <c r="P21" s="981">
        <f>(SUM(P19:P20)/$D21)</f>
        <v>0</v>
      </c>
      <c r="Q21" s="720"/>
      <c r="R21" s="720"/>
      <c r="S21" s="981">
        <f>(SUM(S19:S20)/$D21)</f>
        <v>0</v>
      </c>
      <c r="T21" s="720"/>
      <c r="U21" s="720"/>
      <c r="V21" s="981">
        <f>(SUM(V19:V20)/$D21)</f>
        <v>0</v>
      </c>
      <c r="W21" s="720"/>
      <c r="X21" s="720"/>
      <c r="Y21" s="981">
        <f>(SUM(Y19:Y20)/$D21)</f>
        <v>0</v>
      </c>
      <c r="Z21" s="720"/>
      <c r="AA21" s="720"/>
      <c r="AB21" s="981">
        <f>(SUM(AB19:AB20)/$D21)</f>
        <v>0</v>
      </c>
      <c r="AC21" s="720"/>
      <c r="AD21" s="720"/>
      <c r="AE21" s="981">
        <f>(SUM(AE19:AE20)/$D21)</f>
        <v>0</v>
      </c>
      <c r="AF21" s="720"/>
      <c r="AG21" s="720"/>
      <c r="AH21" s="981">
        <f>(SUM(AH19:AH20)/$D21)</f>
        <v>0</v>
      </c>
    </row>
    <row r="22" spans="1:34" s="109" customFormat="1" ht="31.5" customHeight="1" x14ac:dyDescent="0.2">
      <c r="A22" s="1235" t="s">
        <v>7</v>
      </c>
      <c r="B22" s="326">
        <v>3</v>
      </c>
      <c r="C22" s="69" t="s">
        <v>217</v>
      </c>
      <c r="D22" s="73">
        <v>2</v>
      </c>
      <c r="E22" s="73" t="str">
        <f>IF(VEG_DATA!A13="","0",(IF((VEG_DATA!$CC38*100)&gt;75,75,(VEG_DATA!$CC38*100)))/100)</f>
        <v>0</v>
      </c>
      <c r="F22" s="73" t="str">
        <f>+E22</f>
        <v>0</v>
      </c>
      <c r="G22" s="73">
        <f>+$D$22*F22</f>
        <v>0</v>
      </c>
      <c r="H22" s="73" t="str">
        <f>IF(VEG_DATA!A43="","0",(IF((VEG_DATA!$CC68*100)&gt;75,75,(VEG_DATA!$CC68*100)))/100)</f>
        <v>0</v>
      </c>
      <c r="I22" s="73" t="str">
        <f>+H22</f>
        <v>0</v>
      </c>
      <c r="J22" s="73">
        <f>+$D$22*I22</f>
        <v>0</v>
      </c>
      <c r="K22" s="73" t="str">
        <f>IF(VEG_DATA!A73="","0",(IF((VEG_DATA!$CC98*100)&gt;75,75,(VEG_DATA!$CC98*100)))/100)</f>
        <v>0</v>
      </c>
      <c r="L22" s="73" t="str">
        <f>+K22</f>
        <v>0</v>
      </c>
      <c r="M22" s="73">
        <f>+$D$22*L22</f>
        <v>0</v>
      </c>
      <c r="N22" s="73" t="str">
        <f>IF(VEG_DATA!A103="","0",(IF((VEG_DATA!$CC128*100)&gt;75,75,(VEG_DATA!$CC128*100)))/100)</f>
        <v>0</v>
      </c>
      <c r="O22" s="73" t="str">
        <f>+N22</f>
        <v>0</v>
      </c>
      <c r="P22" s="73">
        <f>+$D$22*O22</f>
        <v>0</v>
      </c>
      <c r="Q22" s="73" t="str">
        <f>IF(VEG_DATA!A133="","0",(IF((VEG_DATA!$CC158*100)&gt;75,75,(VEG_DATA!$CC158*100)))/100)</f>
        <v>0</v>
      </c>
      <c r="R22" s="73" t="str">
        <f>+Q22</f>
        <v>0</v>
      </c>
      <c r="S22" s="73">
        <f>+$D$22*R22</f>
        <v>0</v>
      </c>
      <c r="T22" s="73" t="str">
        <f>IF(VEG_DATA!A163="","0",(IF((VEG_DATA!$CC188*100)&gt;75,75,(VEG_DATA!$CC188*100)))/100)</f>
        <v>0</v>
      </c>
      <c r="U22" s="73" t="str">
        <f>+T22</f>
        <v>0</v>
      </c>
      <c r="V22" s="73">
        <f>+$D$22*U22</f>
        <v>0</v>
      </c>
      <c r="W22" s="73" t="str">
        <f>IF(VEG_DATA!A193="","0",(IF((VEG_DATA!$CC218*100)&gt;75,75,(VEG_DATA!$CC218*100)))/100)</f>
        <v>0</v>
      </c>
      <c r="X22" s="73" t="str">
        <f>+W22</f>
        <v>0</v>
      </c>
      <c r="Y22" s="73">
        <f>+$D$22*X22</f>
        <v>0</v>
      </c>
      <c r="Z22" s="73" t="str">
        <f>IF(VEG_DATA!A223="","0",(IF((VEG_DATA!$CC248*100)&gt;75,75,(VEG_DATA!$CC248*100)))/100)</f>
        <v>0</v>
      </c>
      <c r="AA22" s="73" t="str">
        <f>+Z22</f>
        <v>0</v>
      </c>
      <c r="AB22" s="73">
        <f>+$D$22*AA22</f>
        <v>0</v>
      </c>
      <c r="AC22" s="73" t="str">
        <f>IF(VEG_DATA!A253="","0",(IF((VEG_DATA!$CC278*100)&gt;75,75,(VEG_DATA!$CC278*100)))/100)</f>
        <v>0</v>
      </c>
      <c r="AD22" s="73" t="str">
        <f>+AC22</f>
        <v>0</v>
      </c>
      <c r="AE22" s="73">
        <f>+$D$22*AD22</f>
        <v>0</v>
      </c>
      <c r="AF22" s="73" t="str">
        <f>IF(VEG_DATA!A283="","0",(IF((VEG_DATA!$CC308*100)&gt;75,75,(VEG_DATA!$CC308*100)))/100)</f>
        <v>0</v>
      </c>
      <c r="AG22" s="73" t="str">
        <f>+AF22</f>
        <v>0</v>
      </c>
      <c r="AH22" s="73">
        <f>+$D$22*AG22</f>
        <v>0</v>
      </c>
    </row>
    <row r="23" spans="1:34" s="109" customFormat="1" ht="50.25" customHeight="1" x14ac:dyDescent="0.2">
      <c r="A23" s="1235"/>
      <c r="B23" s="326">
        <v>4</v>
      </c>
      <c r="C23" s="69" t="s">
        <v>530</v>
      </c>
      <c r="D23" s="73">
        <v>10</v>
      </c>
      <c r="E23" s="73">
        <f>+FISH_FIELD!$E12</f>
        <v>0</v>
      </c>
      <c r="F23" s="73">
        <f t="shared" ref="F23:F28" si="0">+E23</f>
        <v>0</v>
      </c>
      <c r="G23" s="73">
        <f>+$D$23*F23</f>
        <v>0</v>
      </c>
      <c r="H23" s="73">
        <f>+FISH_FIELD!$F12</f>
        <v>0</v>
      </c>
      <c r="I23" s="73">
        <f t="shared" ref="I23" si="1">+H23</f>
        <v>0</v>
      </c>
      <c r="J23" s="73">
        <f>+$D$23*I23</f>
        <v>0</v>
      </c>
      <c r="K23" s="73">
        <f>+FISH_FIELD!$G12</f>
        <v>0</v>
      </c>
      <c r="L23" s="73">
        <f t="shared" ref="L23" si="2">+K23</f>
        <v>0</v>
      </c>
      <c r="M23" s="73">
        <f>+$D$23*L23</f>
        <v>0</v>
      </c>
      <c r="N23" s="73">
        <f>+FISH_FIELD!$H12</f>
        <v>0</v>
      </c>
      <c r="O23" s="73">
        <f t="shared" ref="O23" si="3">+N23</f>
        <v>0</v>
      </c>
      <c r="P23" s="73">
        <f>+$D$23*O23</f>
        <v>0</v>
      </c>
      <c r="Q23" s="73">
        <f>+FISH_FIELD!$I12</f>
        <v>0</v>
      </c>
      <c r="R23" s="73">
        <f t="shared" ref="R23" si="4">+Q23</f>
        <v>0</v>
      </c>
      <c r="S23" s="73">
        <f>+$D$23*R23</f>
        <v>0</v>
      </c>
      <c r="T23" s="73">
        <f>+FISH_FIELD!$J12</f>
        <v>0</v>
      </c>
      <c r="U23" s="73">
        <f t="shared" ref="U23" si="5">+T23</f>
        <v>0</v>
      </c>
      <c r="V23" s="73">
        <f>+$D$23*U23</f>
        <v>0</v>
      </c>
      <c r="W23" s="73">
        <f>+FISH_FIELD!$K12</f>
        <v>0</v>
      </c>
      <c r="X23" s="73">
        <f t="shared" ref="X23" si="6">+W23</f>
        <v>0</v>
      </c>
      <c r="Y23" s="73">
        <f>+$D$23*X23</f>
        <v>0</v>
      </c>
      <c r="Z23" s="73">
        <f>+FISH_FIELD!$L12</f>
        <v>0</v>
      </c>
      <c r="AA23" s="73">
        <f t="shared" ref="AA23" si="7">+Z23</f>
        <v>0</v>
      </c>
      <c r="AB23" s="73">
        <f>+$D$23*AA23</f>
        <v>0</v>
      </c>
      <c r="AC23" s="73">
        <f>+FISH_FIELD!$M12</f>
        <v>0</v>
      </c>
      <c r="AD23" s="73">
        <f t="shared" ref="AD23" si="8">+AC23</f>
        <v>0</v>
      </c>
      <c r="AE23" s="73">
        <f>+$D$23*AD23</f>
        <v>0</v>
      </c>
      <c r="AF23" s="73">
        <f>+FISH_FIELD!$N12</f>
        <v>0</v>
      </c>
      <c r="AG23" s="73">
        <f t="shared" ref="AG23" si="9">+AF23</f>
        <v>0</v>
      </c>
      <c r="AH23" s="73">
        <f>+$D$23*AG23</f>
        <v>0</v>
      </c>
    </row>
    <row r="24" spans="1:34" s="947" customFormat="1" ht="32.25" customHeight="1" x14ac:dyDescent="0.2">
      <c r="A24" s="1235"/>
      <c r="B24" s="326">
        <v>5</v>
      </c>
      <c r="C24" s="69" t="s">
        <v>397</v>
      </c>
      <c r="D24" s="73">
        <v>9</v>
      </c>
      <c r="E24" s="73">
        <f>(IF(VEG_DATA!A13="","0",IF(VEG_DATA!$V38&gt;4,3,IF(VEG_DATA!$V38&gt;2,2,IF(VEG_DATA!$V38&gt;1,1,0))))/3)</f>
        <v>0</v>
      </c>
      <c r="F24" s="73">
        <f t="shared" si="0"/>
        <v>0</v>
      </c>
      <c r="G24" s="73">
        <f>+$D$24*F24</f>
        <v>0</v>
      </c>
      <c r="H24" s="73" t="str">
        <f>(IF(VEG_DATA!A43="","0",(IF(VEG_DATA!$V68&gt;4,3,IF(VEG_DATA!$V68&gt;2,2,IF(VEG_DATA!$V68&gt;1,1,0))))/3))</f>
        <v>0</v>
      </c>
      <c r="I24" s="73" t="str">
        <f t="shared" ref="I24:I28" si="10">+H24</f>
        <v>0</v>
      </c>
      <c r="J24" s="73">
        <f>+$D$24*I24</f>
        <v>0</v>
      </c>
      <c r="K24" s="73" t="str">
        <f>(IF(VEG_DATA!A73="","0",(IF(VEG_DATA!$V98&gt;4,3,IF(VEG_DATA!$V98&gt;2,2,IF(VEG_DATA!$V98&gt;1,1,0))))/3))</f>
        <v>0</v>
      </c>
      <c r="L24" s="73" t="str">
        <f t="shared" ref="L24:L28" si="11">+K24</f>
        <v>0</v>
      </c>
      <c r="M24" s="73">
        <f>+$D$24*L24</f>
        <v>0</v>
      </c>
      <c r="N24" s="73" t="str">
        <f>(IF(VEG_DATA!A103="","0",(IF(VEG_DATA!$V128&gt;4,3,IF(VEG_DATA!$V128&gt;2,2,IF(VEG_DATA!$V128&gt;1,1,0))))/3))</f>
        <v>0</v>
      </c>
      <c r="O24" s="73" t="str">
        <f t="shared" ref="O24:O28" si="12">+N24</f>
        <v>0</v>
      </c>
      <c r="P24" s="73">
        <f>+$D$24*O24</f>
        <v>0</v>
      </c>
      <c r="Q24" s="73" t="str">
        <f>(IF(VEG_DATA!A133="","0",(IF(VEG_DATA!$V158&gt;4,3,IF(VEG_DATA!$V158&gt;2,2,IF(VEG_DATA!$V158&gt;1,1,0))))/3))</f>
        <v>0</v>
      </c>
      <c r="R24" s="73" t="str">
        <f t="shared" ref="R24:R28" si="13">+Q24</f>
        <v>0</v>
      </c>
      <c r="S24" s="73">
        <f>+$D$24*R24</f>
        <v>0</v>
      </c>
      <c r="T24" s="73" t="str">
        <f>(IF(VEG_DATA!A163="","0",(IF(VEG_DATA!$V188&gt;4,3,IF(VEG_DATA!$V188&gt;2,2,IF(VEG_DATA!$V188&gt;1,1,0))))/3))</f>
        <v>0</v>
      </c>
      <c r="U24" s="73" t="str">
        <f t="shared" ref="U24:U28" si="14">+T24</f>
        <v>0</v>
      </c>
      <c r="V24" s="73">
        <f>+$D$24*U24</f>
        <v>0</v>
      </c>
      <c r="W24" s="73" t="str">
        <f>(IF(VEG_DATA!A193="","0",(IF(VEG_DATA!$V218&gt;4,3,IF(VEG_DATA!$V218&gt;2,2,IF(VEG_DATA!$V218&gt;1,1,0))))/3))</f>
        <v>0</v>
      </c>
      <c r="X24" s="73" t="str">
        <f t="shared" ref="X24:X28" si="15">+W24</f>
        <v>0</v>
      </c>
      <c r="Y24" s="73">
        <f>+$D$24*X24</f>
        <v>0</v>
      </c>
      <c r="Z24" s="73" t="str">
        <f>(IF(VEG_DATA!A223="","0",(IF(VEG_DATA!$V248&gt;4,3,IF(VEG_DATA!$V248&gt;2,2,IF(VEG_DATA!$V248&gt;1,1,0))))/3))</f>
        <v>0</v>
      </c>
      <c r="AA24" s="73" t="str">
        <f t="shared" ref="AA24:AA28" si="16">+Z24</f>
        <v>0</v>
      </c>
      <c r="AB24" s="73">
        <f>+$D$24*AA24</f>
        <v>0</v>
      </c>
      <c r="AC24" s="73" t="str">
        <f>(IF(VEG_DATA!A253="","0",(IF(VEG_DATA!$V278&gt;4,3,IF(VEG_DATA!$V278&gt;2,2,IF(VEG_DATA!$V278&gt;1,1,0))))/3))</f>
        <v>0</v>
      </c>
      <c r="AD24" s="73" t="str">
        <f t="shared" ref="AD24:AD28" si="17">+AC24</f>
        <v>0</v>
      </c>
      <c r="AE24" s="73">
        <f>+$D$24*AD24</f>
        <v>0</v>
      </c>
      <c r="AF24" s="73" t="str">
        <f>(IF(VEG_DATA!A283="","0",(IF(VEG_DATA!$V308&gt;4,3,IF(VEG_DATA!$V308&gt;2,2,IF(VEG_DATA!$V308&gt;1,1,0))))/3))</f>
        <v>0</v>
      </c>
      <c r="AG24" s="73" t="str">
        <f t="shared" ref="AG24:AG28" si="18">+AF24</f>
        <v>0</v>
      </c>
      <c r="AH24" s="73">
        <f>+$D$24*AG24</f>
        <v>0</v>
      </c>
    </row>
    <row r="25" spans="1:34" s="947" customFormat="1" ht="27" customHeight="1" x14ac:dyDescent="0.2">
      <c r="A25" s="1235"/>
      <c r="B25" s="326">
        <v>6</v>
      </c>
      <c r="C25" s="69" t="s">
        <v>218</v>
      </c>
      <c r="D25" s="73">
        <v>2</v>
      </c>
      <c r="E25" s="73">
        <f>(IF((FISH_FIELD!$E13)&gt;100,100,(FISH_FIELD!$E13)))/100</f>
        <v>0</v>
      </c>
      <c r="F25" s="73">
        <f t="shared" si="0"/>
        <v>0</v>
      </c>
      <c r="G25" s="73">
        <f>+$D$25*F25</f>
        <v>0</v>
      </c>
      <c r="H25" s="73">
        <f>(IF((FISH_FIELD!$F13)&gt;100,100,(FISH_FIELD!$F13)))/100</f>
        <v>0</v>
      </c>
      <c r="I25" s="73">
        <f t="shared" si="10"/>
        <v>0</v>
      </c>
      <c r="J25" s="73">
        <f>+$D$25*I25</f>
        <v>0</v>
      </c>
      <c r="K25" s="73">
        <f>(IF((FISH_FIELD!$G13)&gt;100,100,(FISH_FIELD!$G13)))/100</f>
        <v>0</v>
      </c>
      <c r="L25" s="73">
        <f t="shared" si="11"/>
        <v>0</v>
      </c>
      <c r="M25" s="73">
        <f>+$D$25*L25</f>
        <v>0</v>
      </c>
      <c r="N25" s="73">
        <f>(IF((FISH_FIELD!$H13)&gt;100,100,(FISH_FIELD!$H13)))/100</f>
        <v>0</v>
      </c>
      <c r="O25" s="73">
        <f t="shared" si="12"/>
        <v>0</v>
      </c>
      <c r="P25" s="73">
        <f>+$D$25*O25</f>
        <v>0</v>
      </c>
      <c r="Q25" s="73">
        <f>(IF((FISH_FIELD!$I13)&gt;100,100,(FISH_FIELD!$I13)))/100</f>
        <v>0</v>
      </c>
      <c r="R25" s="73">
        <f t="shared" si="13"/>
        <v>0</v>
      </c>
      <c r="S25" s="73">
        <f>+$D$25*R25</f>
        <v>0</v>
      </c>
      <c r="T25" s="73">
        <f>(IF((FISH_FIELD!$J13)&gt;100,100,(FISH_FIELD!$J13)))/100</f>
        <v>0</v>
      </c>
      <c r="U25" s="73">
        <f t="shared" si="14"/>
        <v>0</v>
      </c>
      <c r="V25" s="73">
        <f>+$D$25*U25</f>
        <v>0</v>
      </c>
      <c r="W25" s="73">
        <f>(IF((FISH_FIELD!$K13)&gt;100,100,(FISH_FIELD!$K13)))/100</f>
        <v>0</v>
      </c>
      <c r="X25" s="73">
        <f t="shared" si="15"/>
        <v>0</v>
      </c>
      <c r="Y25" s="73">
        <f>+$D$25*X25</f>
        <v>0</v>
      </c>
      <c r="Z25" s="73">
        <f>(IF((FISH_FIELD!$L13)&gt;100,100,(FISH_FIELD!$L13)))/100</f>
        <v>0</v>
      </c>
      <c r="AA25" s="73">
        <f t="shared" si="16"/>
        <v>0</v>
      </c>
      <c r="AB25" s="73">
        <f>+$D$25*AA25</f>
        <v>0</v>
      </c>
      <c r="AC25" s="73">
        <f>(IF((FISH_FIELD!$M13)&gt;100,100,(FISH_FIELD!$M13)))/100</f>
        <v>0</v>
      </c>
      <c r="AD25" s="73">
        <f t="shared" si="17"/>
        <v>0</v>
      </c>
      <c r="AE25" s="73">
        <f>+$D$25*AD25</f>
        <v>0</v>
      </c>
      <c r="AF25" s="73">
        <f>(IF((FISH_FIELD!$N13)&gt;100,100,(FISH_FIELD!$N13)))/100</f>
        <v>0</v>
      </c>
      <c r="AG25" s="73">
        <f t="shared" si="18"/>
        <v>0</v>
      </c>
      <c r="AH25" s="73">
        <f>+$D$25*AG25</f>
        <v>0</v>
      </c>
    </row>
    <row r="26" spans="1:34" s="947" customFormat="1" ht="39" customHeight="1" x14ac:dyDescent="0.2">
      <c r="A26" s="1235"/>
      <c r="B26" s="326">
        <v>7</v>
      </c>
      <c r="C26" s="69" t="s">
        <v>687</v>
      </c>
      <c r="D26" s="73">
        <v>2</v>
      </c>
      <c r="E26" s="73">
        <f>(IF(FISH_FIELD!$E14&gt;75,75,FISH_FIELD!$E14))/100</f>
        <v>0</v>
      </c>
      <c r="F26" s="73">
        <f t="shared" si="0"/>
        <v>0</v>
      </c>
      <c r="G26" s="73">
        <f>+$D$26*F26</f>
        <v>0</v>
      </c>
      <c r="H26" s="73">
        <f>(IF(FISH_FIELD!$F14&gt;75,75,FISH_FIELD!$F14))/100</f>
        <v>0</v>
      </c>
      <c r="I26" s="73">
        <f t="shared" si="10"/>
        <v>0</v>
      </c>
      <c r="J26" s="73">
        <f>+$D$26*I26</f>
        <v>0</v>
      </c>
      <c r="K26" s="73">
        <f>(IF(FISH_FIELD!$G14&gt;75,75,FISH_FIELD!$G14))/100</f>
        <v>0</v>
      </c>
      <c r="L26" s="73">
        <f t="shared" si="11"/>
        <v>0</v>
      </c>
      <c r="M26" s="73">
        <f>+$D$26*L26</f>
        <v>0</v>
      </c>
      <c r="N26" s="73">
        <f>(IF(FISH_FIELD!$H14&gt;75,75,FISH_FIELD!$H14))/100</f>
        <v>0</v>
      </c>
      <c r="O26" s="73">
        <f t="shared" si="12"/>
        <v>0</v>
      </c>
      <c r="P26" s="73">
        <f>+$D$26*O26</f>
        <v>0</v>
      </c>
      <c r="Q26" s="73">
        <f>(IF(FISH_FIELD!$I14&gt;75,75,FISH_FIELD!$I14))/100</f>
        <v>0</v>
      </c>
      <c r="R26" s="73">
        <f t="shared" si="13"/>
        <v>0</v>
      </c>
      <c r="S26" s="73">
        <f>+$D$26*R26</f>
        <v>0</v>
      </c>
      <c r="T26" s="73">
        <f>(IF(FISH_FIELD!$J14&gt;75,75,FISH_FIELD!$J14))/100</f>
        <v>0</v>
      </c>
      <c r="U26" s="73">
        <f t="shared" si="14"/>
        <v>0</v>
      </c>
      <c r="V26" s="73">
        <f>+$D$26*U26</f>
        <v>0</v>
      </c>
      <c r="W26" s="73">
        <f>(IF(FISH_FIELD!$K14&gt;75,75,FISH_FIELD!$K14))/100</f>
        <v>0</v>
      </c>
      <c r="X26" s="73">
        <f t="shared" si="15"/>
        <v>0</v>
      </c>
      <c r="Y26" s="73">
        <f>+$D$26*X26</f>
        <v>0</v>
      </c>
      <c r="Z26" s="73">
        <f>(IF(FISH_FIELD!$L14&gt;75,75,FISH_FIELD!$L14))/100</f>
        <v>0</v>
      </c>
      <c r="AA26" s="73">
        <f t="shared" si="16"/>
        <v>0</v>
      </c>
      <c r="AB26" s="73">
        <f>+$D$26*AA26</f>
        <v>0</v>
      </c>
      <c r="AC26" s="73">
        <f>(IF(FISH_FIELD!$M14&gt;75,75,FISH_FIELD!$M14))/100</f>
        <v>0</v>
      </c>
      <c r="AD26" s="73">
        <f t="shared" si="17"/>
        <v>0</v>
      </c>
      <c r="AE26" s="73">
        <f>+$D$26*AD26</f>
        <v>0</v>
      </c>
      <c r="AF26" s="73">
        <f>(IF(FISH_FIELD!$N14&gt;75,75,FISH_FIELD!$N14))/100</f>
        <v>0</v>
      </c>
      <c r="AG26" s="73">
        <f t="shared" si="18"/>
        <v>0</v>
      </c>
      <c r="AH26" s="73">
        <f>+$D$26*AG26</f>
        <v>0</v>
      </c>
    </row>
    <row r="27" spans="1:34" s="947" customFormat="1" ht="41.25" customHeight="1" x14ac:dyDescent="0.2">
      <c r="A27" s="1235"/>
      <c r="B27" s="326">
        <v>8</v>
      </c>
      <c r="C27" s="69" t="s">
        <v>645</v>
      </c>
      <c r="D27" s="73">
        <v>4</v>
      </c>
      <c r="E27" s="73">
        <f>(IF(FISH_FIELD!$E15&gt;50,100, IF(FISH_FIELD!$E15&gt;25,85,IF(FISH_FIELD!$E15&gt;10, 75,IF(FISH_FIELD!$E15&gt;5,50,IF(FISH_FIELD!$E15&gt;0,25,0))))))/100</f>
        <v>0</v>
      </c>
      <c r="F27" s="73">
        <f t="shared" si="0"/>
        <v>0</v>
      </c>
      <c r="G27" s="73">
        <f>+$D$27*F27</f>
        <v>0</v>
      </c>
      <c r="H27" s="73">
        <f>(IF(FISH_FIELD!$F15&gt;50,100, IF(FISH_FIELD!$F15&gt;25,85,IF(FISH_FIELD!$F15&gt;10, 75,IF(FISH_FIELD!$F15&gt;5,50,IF(FISH_FIELD!$F15&gt;0,25,0))))))/100</f>
        <v>0</v>
      </c>
      <c r="I27" s="73">
        <f t="shared" si="10"/>
        <v>0</v>
      </c>
      <c r="J27" s="73">
        <f>+$D$27*I27</f>
        <v>0</v>
      </c>
      <c r="K27" s="73">
        <f>(IF(FISH_FIELD!$G15&gt;50,100, IF(FISH_FIELD!$G15&gt;25,85,IF(FISH_FIELD!$G15&gt;10, 75,IF(FISH_FIELD!$G15&gt;5,50,IF(FISH_FIELD!$G15&gt;0,25,0))))))/100</f>
        <v>0</v>
      </c>
      <c r="L27" s="73">
        <f t="shared" si="11"/>
        <v>0</v>
      </c>
      <c r="M27" s="73">
        <f>+$D$27*L27</f>
        <v>0</v>
      </c>
      <c r="N27" s="73">
        <f>(IF(FISH_FIELD!$H15&gt;50,100, IF(FISH_FIELD!$H15&gt;25,85,IF(FISH_FIELD!$H15&gt;10, 75,IF(FISH_FIELD!$H15&gt;5,50,IF(FISH_FIELD!$H15&gt;0,25,0))))))/100</f>
        <v>0</v>
      </c>
      <c r="O27" s="73">
        <f t="shared" si="12"/>
        <v>0</v>
      </c>
      <c r="P27" s="73">
        <f>+$D$27*O27</f>
        <v>0</v>
      </c>
      <c r="Q27" s="73">
        <f>(IF(FISH_FIELD!$I15&gt;50,100, IF(FISH_FIELD!$I15&gt;25,85,IF(FISH_FIELD!$I15&gt;10, 75,IF(FISH_FIELD!$I15&gt;5,50,IF(FISH_FIELD!$I15&gt;0,25,0))))))/100</f>
        <v>0</v>
      </c>
      <c r="R27" s="73">
        <f t="shared" si="13"/>
        <v>0</v>
      </c>
      <c r="S27" s="73">
        <f>+$D$27*R27</f>
        <v>0</v>
      </c>
      <c r="T27" s="73">
        <f>(IF(FISH_FIELD!$J15&gt;50,100, IF(FISH_FIELD!$J15&gt;25,85,IF(FISH_FIELD!$J15&gt;10, 75,IF(FISH_FIELD!$J15&gt;5,50,IF(FISH_FIELD!$J15&gt;0,25,0))))))/100</f>
        <v>0</v>
      </c>
      <c r="U27" s="73">
        <f t="shared" si="14"/>
        <v>0</v>
      </c>
      <c r="V27" s="73">
        <f>+$D$27*U27</f>
        <v>0</v>
      </c>
      <c r="W27" s="73">
        <f>(IF(FISH_FIELD!$K15&gt;50,100, IF(FISH_FIELD!$K15&gt;25,85,IF(FISH_FIELD!$K15&gt;10, 75,IF(FISH_FIELD!$K15&gt;5,50,IF(FISH_FIELD!$K15&gt;0,25,0))))))/100</f>
        <v>0</v>
      </c>
      <c r="X27" s="73">
        <f t="shared" si="15"/>
        <v>0</v>
      </c>
      <c r="Y27" s="73">
        <f>+$D$27*X27</f>
        <v>0</v>
      </c>
      <c r="Z27" s="73">
        <f>(IF(FISH_FIELD!$L15&gt;50,100, IF(FISH_FIELD!$L15&gt;25,85,IF(FISH_FIELD!$L15&gt;10, 75,IF(FISH_FIELD!$L15&gt;5,50,IF(FISH_FIELD!$L15&gt;0,25,0))))))/100</f>
        <v>0</v>
      </c>
      <c r="AA27" s="73">
        <f t="shared" si="16"/>
        <v>0</v>
      </c>
      <c r="AB27" s="73">
        <f>+$D$27*AA27</f>
        <v>0</v>
      </c>
      <c r="AC27" s="73">
        <f>(IF(FISH_FIELD!$M15&gt;50,100, IF(FISH_FIELD!$M15&gt;25,85,IF(FISH_FIELD!$M15&gt;10, 75,IF(FISH_FIELD!$M15&gt;5,50,IF(FISH_FIELD!$M15&gt;0,25,0))))))/100</f>
        <v>0</v>
      </c>
      <c r="AD27" s="73">
        <f t="shared" si="17"/>
        <v>0</v>
      </c>
      <c r="AE27" s="73">
        <f>+$D$27*AD27</f>
        <v>0</v>
      </c>
      <c r="AF27" s="73">
        <f>(IF(FISH_FIELD!$N15&gt;50,100, IF(FISH_FIELD!$N15&gt;25,85,IF(FISH_FIELD!$N15&gt;10, 75,IF(FISH_FIELD!$N15&gt;5,50,IF(FISH_FIELD!$N15&gt;0,25,0))))))/100</f>
        <v>0</v>
      </c>
      <c r="AG27" s="73">
        <f t="shared" si="18"/>
        <v>0</v>
      </c>
      <c r="AH27" s="73">
        <f>+$D$27*AG27</f>
        <v>0</v>
      </c>
    </row>
    <row r="28" spans="1:34" s="947" customFormat="1" ht="66.75" customHeight="1" x14ac:dyDescent="0.2">
      <c r="A28" s="1235"/>
      <c r="B28" s="326">
        <v>9</v>
      </c>
      <c r="C28" s="69" t="s">
        <v>719</v>
      </c>
      <c r="D28" s="73">
        <v>2</v>
      </c>
      <c r="E28" s="73">
        <f>IF(FISH_FIELD!$E16="",0,((100-FISH_FIELD!$E16)/100))</f>
        <v>0</v>
      </c>
      <c r="F28" s="73">
        <f t="shared" si="0"/>
        <v>0</v>
      </c>
      <c r="G28" s="73">
        <f>+$D$28*F28</f>
        <v>0</v>
      </c>
      <c r="H28" s="73">
        <f>IF(FISH_FIELD!$F16="",0,((100-FISH_FIELD!$F16)/100))</f>
        <v>0</v>
      </c>
      <c r="I28" s="73">
        <f t="shared" si="10"/>
        <v>0</v>
      </c>
      <c r="J28" s="73">
        <f>+$D$28*I28</f>
        <v>0</v>
      </c>
      <c r="K28" s="73">
        <f>IF(FISH_FIELD!$G16="",0,((100-FISH_FIELD!$G16)/100))</f>
        <v>0</v>
      </c>
      <c r="L28" s="73">
        <f t="shared" si="11"/>
        <v>0</v>
      </c>
      <c r="M28" s="73">
        <f>+$D$28*L28</f>
        <v>0</v>
      </c>
      <c r="N28" s="73">
        <f>IF(FISH_FIELD!$H16="",0,((100-FISH_FIELD!$H16)/100))</f>
        <v>0</v>
      </c>
      <c r="O28" s="73">
        <f t="shared" si="12"/>
        <v>0</v>
      </c>
      <c r="P28" s="73">
        <f>+$D$28*O28</f>
        <v>0</v>
      </c>
      <c r="Q28" s="73">
        <f>IF(FISH_FIELD!$I16="",0,((100-FISH_FIELD!$I16)/100))</f>
        <v>0</v>
      </c>
      <c r="R28" s="73">
        <f t="shared" si="13"/>
        <v>0</v>
      </c>
      <c r="S28" s="73">
        <f>+$D$28*R28</f>
        <v>0</v>
      </c>
      <c r="T28" s="73">
        <f>IF(FISH_FIELD!$J16="",0,((100-FISH_FIELD!$J16)/100))</f>
        <v>0</v>
      </c>
      <c r="U28" s="73">
        <f t="shared" si="14"/>
        <v>0</v>
      </c>
      <c r="V28" s="73">
        <f>+$D$28*U28</f>
        <v>0</v>
      </c>
      <c r="W28" s="73">
        <f>IF(FISH_FIELD!$K16="",0,((100-FISH_FIELD!$K16)/100))</f>
        <v>0</v>
      </c>
      <c r="X28" s="73">
        <f t="shared" si="15"/>
        <v>0</v>
      </c>
      <c r="Y28" s="73">
        <f>+$D$28*X28</f>
        <v>0</v>
      </c>
      <c r="Z28" s="73">
        <f>IF(FISH_FIELD!$L16="",0,((100-FISH_FIELD!$L16)/100))</f>
        <v>0</v>
      </c>
      <c r="AA28" s="73">
        <f t="shared" si="16"/>
        <v>0</v>
      </c>
      <c r="AB28" s="73">
        <f>+$D$28*AA28</f>
        <v>0</v>
      </c>
      <c r="AC28" s="73">
        <f>IF(FISH_FIELD!$M16="",0,((100-FISH_FIELD!$M16)/100))</f>
        <v>0</v>
      </c>
      <c r="AD28" s="73">
        <f t="shared" si="17"/>
        <v>0</v>
      </c>
      <c r="AE28" s="73">
        <f>+$D$28*AD28</f>
        <v>0</v>
      </c>
      <c r="AF28" s="73">
        <f>IF(FISH_FIELD!$N16="",0,((100-FISH_FIELD!$N16)/100))</f>
        <v>0</v>
      </c>
      <c r="AG28" s="73">
        <f t="shared" si="18"/>
        <v>0</v>
      </c>
      <c r="AH28" s="73">
        <f>+$D$28*AG28</f>
        <v>0</v>
      </c>
    </row>
    <row r="29" spans="1:34" s="142" customFormat="1" ht="29.25" customHeight="1" x14ac:dyDescent="0.2">
      <c r="A29" s="1235"/>
      <c r="B29" s="328" t="s">
        <v>13</v>
      </c>
      <c r="C29" s="337"/>
      <c r="D29" s="943">
        <f>SUM(D22:D28)</f>
        <v>31</v>
      </c>
      <c r="E29" s="74"/>
      <c r="F29" s="74"/>
      <c r="G29" s="982">
        <f>(SUM(G22:G28))/$D29</f>
        <v>0</v>
      </c>
      <c r="H29" s="74"/>
      <c r="I29" s="74"/>
      <c r="J29" s="982">
        <f>(SUM(J22:J28))/$D29</f>
        <v>0</v>
      </c>
      <c r="K29" s="74"/>
      <c r="L29" s="74"/>
      <c r="M29" s="982">
        <f>(SUM(M22:M28))/$D29</f>
        <v>0</v>
      </c>
      <c r="N29" s="74"/>
      <c r="O29" s="74"/>
      <c r="P29" s="982">
        <f>(SUM(P22:P28))/$D29</f>
        <v>0</v>
      </c>
      <c r="Q29" s="74"/>
      <c r="R29" s="74"/>
      <c r="S29" s="982">
        <f>(SUM(S22:S28))/$D29</f>
        <v>0</v>
      </c>
      <c r="T29" s="74"/>
      <c r="U29" s="74"/>
      <c r="V29" s="982">
        <f>(SUM(V22:V28))/$D29</f>
        <v>0</v>
      </c>
      <c r="W29" s="74"/>
      <c r="X29" s="74"/>
      <c r="Y29" s="982">
        <f>(SUM(Y22:Y28))/$D29</f>
        <v>0</v>
      </c>
      <c r="Z29" s="74"/>
      <c r="AA29" s="74"/>
      <c r="AB29" s="982">
        <f>(SUM(AB22:AB28))/$D29</f>
        <v>0</v>
      </c>
      <c r="AC29" s="74"/>
      <c r="AD29" s="74"/>
      <c r="AE29" s="982">
        <f>(SUM(AE22:AE28))/$D29</f>
        <v>0</v>
      </c>
      <c r="AF29" s="74"/>
      <c r="AG29" s="74"/>
      <c r="AH29" s="982">
        <f>(SUM(AH22:AH28))/$D29</f>
        <v>0</v>
      </c>
    </row>
    <row r="30" spans="1:34" s="947" customFormat="1" ht="61.5" customHeight="1" x14ac:dyDescent="0.2">
      <c r="A30" s="1239" t="s">
        <v>230</v>
      </c>
      <c r="B30" s="329">
        <v>10</v>
      </c>
      <c r="C30" s="751" t="s">
        <v>764</v>
      </c>
      <c r="D30" s="143">
        <v>6</v>
      </c>
      <c r="E30" s="143">
        <f>+FISH_FIELD!$E17</f>
        <v>0</v>
      </c>
      <c r="F30" s="143">
        <f>+E30/100</f>
        <v>0</v>
      </c>
      <c r="G30" s="143">
        <f>+$D$30*F30</f>
        <v>0</v>
      </c>
      <c r="H30" s="143">
        <f>+FISH_FIELD!$F17</f>
        <v>0</v>
      </c>
      <c r="I30" s="143">
        <f>+H30/100</f>
        <v>0</v>
      </c>
      <c r="J30" s="143">
        <f>+$D$30*I30</f>
        <v>0</v>
      </c>
      <c r="K30" s="143">
        <f>+FISH_FIELD!$G17</f>
        <v>0</v>
      </c>
      <c r="L30" s="143">
        <f>+K30/100</f>
        <v>0</v>
      </c>
      <c r="M30" s="143">
        <f>+$D$30*L30</f>
        <v>0</v>
      </c>
      <c r="N30" s="143">
        <f>+FISH_FIELD!$H17</f>
        <v>0</v>
      </c>
      <c r="O30" s="143">
        <f>+N30/100</f>
        <v>0</v>
      </c>
      <c r="P30" s="143">
        <f>+$D$30*O30</f>
        <v>0</v>
      </c>
      <c r="Q30" s="143">
        <f>+FISH_FIELD!$I17</f>
        <v>0</v>
      </c>
      <c r="R30" s="143">
        <f>+Q30/100</f>
        <v>0</v>
      </c>
      <c r="S30" s="143">
        <f>+$D$30*R30</f>
        <v>0</v>
      </c>
      <c r="T30" s="143">
        <f>+FISH_FIELD!$J17</f>
        <v>0</v>
      </c>
      <c r="U30" s="143">
        <f>+T30/100</f>
        <v>0</v>
      </c>
      <c r="V30" s="143">
        <f>+$D$30*U30</f>
        <v>0</v>
      </c>
      <c r="W30" s="143">
        <f>+FISH_FIELD!$K17</f>
        <v>0</v>
      </c>
      <c r="X30" s="143">
        <f>+W30/100</f>
        <v>0</v>
      </c>
      <c r="Y30" s="143">
        <f>+$D$30*X30</f>
        <v>0</v>
      </c>
      <c r="Z30" s="143">
        <f>+FISH_FIELD!$L17</f>
        <v>0</v>
      </c>
      <c r="AA30" s="143">
        <f>+Z30/100</f>
        <v>0</v>
      </c>
      <c r="AB30" s="143">
        <f>+$D$30*AA30</f>
        <v>0</v>
      </c>
      <c r="AC30" s="143">
        <f>+FISH_FIELD!$M17</f>
        <v>0</v>
      </c>
      <c r="AD30" s="143">
        <f>+AC30/100</f>
        <v>0</v>
      </c>
      <c r="AE30" s="143">
        <f>+$D$30*AD30</f>
        <v>0</v>
      </c>
      <c r="AF30" s="143">
        <f>+FISH_FIELD!$N17</f>
        <v>0</v>
      </c>
      <c r="AG30" s="143">
        <f>+AF30/100</f>
        <v>0</v>
      </c>
      <c r="AH30" s="143">
        <f>+$D$30*AG30</f>
        <v>0</v>
      </c>
    </row>
    <row r="31" spans="1:34" s="947" customFormat="1" ht="50.25" customHeight="1" x14ac:dyDescent="0.2">
      <c r="A31" s="1240"/>
      <c r="B31" s="329">
        <v>11</v>
      </c>
      <c r="C31" s="751" t="s">
        <v>220</v>
      </c>
      <c r="D31" s="143">
        <v>12</v>
      </c>
      <c r="E31" s="143">
        <f>+FISH_FIELD!$E18</f>
        <v>0</v>
      </c>
      <c r="F31" s="143">
        <f t="shared" ref="F31:F34" si="19">+E31</f>
        <v>0</v>
      </c>
      <c r="G31" s="143">
        <f>+$D$31*F31</f>
        <v>0</v>
      </c>
      <c r="H31" s="143">
        <f>+FISH_FIELD!$F18</f>
        <v>0</v>
      </c>
      <c r="I31" s="143">
        <f t="shared" ref="I31:I34" si="20">+H31</f>
        <v>0</v>
      </c>
      <c r="J31" s="143">
        <f>+$D$31*I31</f>
        <v>0</v>
      </c>
      <c r="K31" s="143">
        <f>+FISH_FIELD!$G18</f>
        <v>0</v>
      </c>
      <c r="L31" s="143">
        <f t="shared" ref="L31:L34" si="21">+K31</f>
        <v>0</v>
      </c>
      <c r="M31" s="143">
        <f>+$D$31*L31</f>
        <v>0</v>
      </c>
      <c r="N31" s="143">
        <f>+FISH_FIELD!$H18</f>
        <v>0</v>
      </c>
      <c r="O31" s="143">
        <f t="shared" ref="O31:O34" si="22">+N31</f>
        <v>0</v>
      </c>
      <c r="P31" s="143">
        <f>+$D$31*O31</f>
        <v>0</v>
      </c>
      <c r="Q31" s="143">
        <f>+FISH_FIELD!$I18</f>
        <v>0</v>
      </c>
      <c r="R31" s="143">
        <f t="shared" ref="R31:R34" si="23">+Q31</f>
        <v>0</v>
      </c>
      <c r="S31" s="143">
        <f>+$D$31*R31</f>
        <v>0</v>
      </c>
      <c r="T31" s="143">
        <f>+FISH_FIELD!$J18</f>
        <v>0</v>
      </c>
      <c r="U31" s="143">
        <f t="shared" ref="U31:U34" si="24">+T31</f>
        <v>0</v>
      </c>
      <c r="V31" s="143">
        <f>+$D$31*U31</f>
        <v>0</v>
      </c>
      <c r="W31" s="143">
        <f>+FISH_FIELD!$K18</f>
        <v>0</v>
      </c>
      <c r="X31" s="143">
        <f t="shared" ref="X31:X34" si="25">+W31</f>
        <v>0</v>
      </c>
      <c r="Y31" s="143">
        <f>+$D$31*X31</f>
        <v>0</v>
      </c>
      <c r="Z31" s="143">
        <f>+FISH_FIELD!$L18</f>
        <v>0</v>
      </c>
      <c r="AA31" s="143">
        <f t="shared" ref="AA31:AA34" si="26">+Z31</f>
        <v>0</v>
      </c>
      <c r="AB31" s="143">
        <f>+$D$31*AA31</f>
        <v>0</v>
      </c>
      <c r="AC31" s="143">
        <f>+FISH_FIELD!$M18</f>
        <v>0</v>
      </c>
      <c r="AD31" s="143">
        <f t="shared" ref="AD31:AD34" si="27">+AC31</f>
        <v>0</v>
      </c>
      <c r="AE31" s="143">
        <f>+$D$31*AD31</f>
        <v>0</v>
      </c>
      <c r="AF31" s="143">
        <f>+FISH_FIELD!$N18</f>
        <v>0</v>
      </c>
      <c r="AG31" s="143">
        <f t="shared" ref="AG31:AG34" si="28">+AF31</f>
        <v>0</v>
      </c>
      <c r="AH31" s="143">
        <f>+$D$31*AG31</f>
        <v>0</v>
      </c>
    </row>
    <row r="32" spans="1:34" s="947" customFormat="1" ht="57.75" customHeight="1" x14ac:dyDescent="0.2">
      <c r="A32" s="1240"/>
      <c r="B32" s="329">
        <v>12</v>
      </c>
      <c r="C32" s="751" t="s">
        <v>720</v>
      </c>
      <c r="D32" s="143">
        <v>4</v>
      </c>
      <c r="E32" s="143">
        <f>+FISH_FIELD!$E19</f>
        <v>0</v>
      </c>
      <c r="F32" s="143">
        <f t="shared" si="19"/>
        <v>0</v>
      </c>
      <c r="G32" s="143">
        <f>+$D$32*F32</f>
        <v>0</v>
      </c>
      <c r="H32" s="143">
        <f>+FISH_FIELD!$F19</f>
        <v>0</v>
      </c>
      <c r="I32" s="143">
        <f t="shared" si="20"/>
        <v>0</v>
      </c>
      <c r="J32" s="143">
        <f>+$D$32*I32</f>
        <v>0</v>
      </c>
      <c r="K32" s="143">
        <f>+FISH_FIELD!$G19</f>
        <v>0</v>
      </c>
      <c r="L32" s="143">
        <f t="shared" si="21"/>
        <v>0</v>
      </c>
      <c r="M32" s="143">
        <f>+$D$32*L32</f>
        <v>0</v>
      </c>
      <c r="N32" s="143">
        <f>+FISH_FIELD!$H19</f>
        <v>0</v>
      </c>
      <c r="O32" s="143">
        <f t="shared" si="22"/>
        <v>0</v>
      </c>
      <c r="P32" s="143">
        <f>+$D$32*O32</f>
        <v>0</v>
      </c>
      <c r="Q32" s="143">
        <f>+FISH_FIELD!$I19</f>
        <v>0</v>
      </c>
      <c r="R32" s="143">
        <f t="shared" si="23"/>
        <v>0</v>
      </c>
      <c r="S32" s="143">
        <f>+$D$32*R32</f>
        <v>0</v>
      </c>
      <c r="T32" s="143">
        <f>+FISH_FIELD!$J19</f>
        <v>0</v>
      </c>
      <c r="U32" s="143">
        <f t="shared" si="24"/>
        <v>0</v>
      </c>
      <c r="V32" s="143">
        <f>+$D$32*U32</f>
        <v>0</v>
      </c>
      <c r="W32" s="143">
        <f>+FISH_FIELD!$K19</f>
        <v>0</v>
      </c>
      <c r="X32" s="143">
        <f t="shared" si="25"/>
        <v>0</v>
      </c>
      <c r="Y32" s="143">
        <f>+$D$32*X32</f>
        <v>0</v>
      </c>
      <c r="Z32" s="143">
        <f>+FISH_FIELD!$L19</f>
        <v>0</v>
      </c>
      <c r="AA32" s="143">
        <f t="shared" si="26"/>
        <v>0</v>
      </c>
      <c r="AB32" s="143">
        <f>+$D$32*AA32</f>
        <v>0</v>
      </c>
      <c r="AC32" s="143">
        <f>+FISH_FIELD!$M19</f>
        <v>0</v>
      </c>
      <c r="AD32" s="143">
        <f t="shared" si="27"/>
        <v>0</v>
      </c>
      <c r="AE32" s="143">
        <f>+$D$32*AD32</f>
        <v>0</v>
      </c>
      <c r="AF32" s="143">
        <f>+FISH_FIELD!$N19</f>
        <v>0</v>
      </c>
      <c r="AG32" s="143">
        <f t="shared" si="28"/>
        <v>0</v>
      </c>
      <c r="AH32" s="143">
        <f>+$D$32*AG32</f>
        <v>0</v>
      </c>
    </row>
    <row r="33" spans="1:34" s="145" customFormat="1" ht="31.5" customHeight="1" x14ac:dyDescent="0.2">
      <c r="A33" s="1241"/>
      <c r="B33" s="1242" t="s">
        <v>231</v>
      </c>
      <c r="C33" s="1242"/>
      <c r="D33" s="944">
        <f>SUM(D30:D32)</f>
        <v>22</v>
      </c>
      <c r="E33" s="144"/>
      <c r="F33" s="144"/>
      <c r="G33" s="983">
        <f>+(SUM(G30:G32))/$D33</f>
        <v>0</v>
      </c>
      <c r="H33" s="144"/>
      <c r="I33" s="144"/>
      <c r="J33" s="983">
        <f>+(SUM(J30:J32))/$D33</f>
        <v>0</v>
      </c>
      <c r="K33" s="144"/>
      <c r="L33" s="144"/>
      <c r="M33" s="983">
        <f>+(SUM(M30:M32))/$D33</f>
        <v>0</v>
      </c>
      <c r="N33" s="144"/>
      <c r="O33" s="144"/>
      <c r="P33" s="983">
        <f>+(SUM(P30:P32))/$D33</f>
        <v>0</v>
      </c>
      <c r="Q33" s="144"/>
      <c r="R33" s="144"/>
      <c r="S33" s="983">
        <f>+(SUM(S30:S32))/$D33</f>
        <v>0</v>
      </c>
      <c r="T33" s="144"/>
      <c r="U33" s="144"/>
      <c r="V33" s="983">
        <f>+(SUM(V30:V32))/$D33</f>
        <v>0</v>
      </c>
      <c r="W33" s="144"/>
      <c r="X33" s="144"/>
      <c r="Y33" s="983">
        <f>+(SUM(Y30:Y32))/$D33</f>
        <v>0</v>
      </c>
      <c r="Z33" s="144"/>
      <c r="AA33" s="144"/>
      <c r="AB33" s="983">
        <f>+(SUM(AB30:AB32))/$D33</f>
        <v>0</v>
      </c>
      <c r="AC33" s="144"/>
      <c r="AD33" s="144"/>
      <c r="AE33" s="983">
        <f>+(SUM(AE30:AE32))/$D33</f>
        <v>0</v>
      </c>
      <c r="AF33" s="144"/>
      <c r="AG33" s="144"/>
      <c r="AH33" s="983">
        <f>+(SUM(AH30:AH32))/$D33</f>
        <v>0</v>
      </c>
    </row>
    <row r="34" spans="1:34" s="947" customFormat="1" ht="45.75" customHeight="1" x14ac:dyDescent="0.2">
      <c r="A34" s="1232" t="s">
        <v>232</v>
      </c>
      <c r="B34" s="330">
        <v>13</v>
      </c>
      <c r="C34" s="75" t="s">
        <v>222</v>
      </c>
      <c r="D34" s="76">
        <v>2</v>
      </c>
      <c r="E34" s="76">
        <f>+FISH_FIELD!$E21</f>
        <v>0</v>
      </c>
      <c r="F34" s="76">
        <f t="shared" si="19"/>
        <v>0</v>
      </c>
      <c r="G34" s="76">
        <f>+$D$34*F34</f>
        <v>0</v>
      </c>
      <c r="H34" s="76">
        <f>+FISH_FIELD!$F21</f>
        <v>0</v>
      </c>
      <c r="I34" s="76">
        <f t="shared" si="20"/>
        <v>0</v>
      </c>
      <c r="J34" s="76">
        <f>+$D$34*I34</f>
        <v>0</v>
      </c>
      <c r="K34" s="76">
        <f>+FISH_FIELD!$G21</f>
        <v>0</v>
      </c>
      <c r="L34" s="76">
        <f t="shared" si="21"/>
        <v>0</v>
      </c>
      <c r="M34" s="76">
        <f>+$D$34*L34</f>
        <v>0</v>
      </c>
      <c r="N34" s="76">
        <f>+FISH_FIELD!$H21</f>
        <v>0</v>
      </c>
      <c r="O34" s="76">
        <f t="shared" si="22"/>
        <v>0</v>
      </c>
      <c r="P34" s="76">
        <f>+$D$34*O34</f>
        <v>0</v>
      </c>
      <c r="Q34" s="76">
        <f>+FISH_FIELD!$I21</f>
        <v>0</v>
      </c>
      <c r="R34" s="76">
        <f t="shared" si="23"/>
        <v>0</v>
      </c>
      <c r="S34" s="76">
        <f>+$D$34*R34</f>
        <v>0</v>
      </c>
      <c r="T34" s="76">
        <f>+FISH_FIELD!$J21</f>
        <v>0</v>
      </c>
      <c r="U34" s="76">
        <f t="shared" si="24"/>
        <v>0</v>
      </c>
      <c r="V34" s="76">
        <f>+$D$34*U34</f>
        <v>0</v>
      </c>
      <c r="W34" s="76">
        <f>+FISH_FIELD!$K21</f>
        <v>0</v>
      </c>
      <c r="X34" s="76">
        <f t="shared" si="25"/>
        <v>0</v>
      </c>
      <c r="Y34" s="76">
        <f>+$D$34*X34</f>
        <v>0</v>
      </c>
      <c r="Z34" s="76">
        <f>+FISH_FIELD!$L21</f>
        <v>0</v>
      </c>
      <c r="AA34" s="76">
        <f t="shared" si="26"/>
        <v>0</v>
      </c>
      <c r="AB34" s="76">
        <f>+$D$34*AA34</f>
        <v>0</v>
      </c>
      <c r="AC34" s="76">
        <f>+FISH_FIELD!$M21</f>
        <v>0</v>
      </c>
      <c r="AD34" s="76">
        <f t="shared" si="27"/>
        <v>0</v>
      </c>
      <c r="AE34" s="76">
        <f>+$D$34*AD34</f>
        <v>0</v>
      </c>
      <c r="AF34" s="76">
        <f>+FISH_FIELD!$N21</f>
        <v>0</v>
      </c>
      <c r="AG34" s="76">
        <f t="shared" si="28"/>
        <v>0</v>
      </c>
      <c r="AH34" s="76">
        <f>+$D$34*AG34</f>
        <v>0</v>
      </c>
    </row>
    <row r="35" spans="1:34" s="947" customFormat="1" ht="44.25" customHeight="1" x14ac:dyDescent="0.2">
      <c r="A35" s="1232"/>
      <c r="B35" s="330">
        <v>14</v>
      </c>
      <c r="C35" s="75" t="s">
        <v>223</v>
      </c>
      <c r="D35" s="76">
        <v>2</v>
      </c>
      <c r="E35" s="76">
        <f>IF(FISH_FIELD!$E21="",0,IF(FISH_FIELD!$E21=1,0,1))</f>
        <v>0</v>
      </c>
      <c r="F35" s="76">
        <f t="shared" ref="F35:F38" si="29">+E35</f>
        <v>0</v>
      </c>
      <c r="G35" s="76">
        <f>+$D$35*F35</f>
        <v>0</v>
      </c>
      <c r="H35" s="76">
        <f>+IF(FISH_FIELD!$F21="",0,IF(FISH_FIELD!$F21=1,0,1))</f>
        <v>0</v>
      </c>
      <c r="I35" s="76">
        <f t="shared" ref="I35:I38" si="30">+H35</f>
        <v>0</v>
      </c>
      <c r="J35" s="76">
        <f>+$D$35*I35</f>
        <v>0</v>
      </c>
      <c r="K35" s="76">
        <f>+IF(FISH_FIELD!$G21="",0,IF(FISH_FIELD!$G21=1,0,1))</f>
        <v>0</v>
      </c>
      <c r="L35" s="76">
        <f t="shared" ref="L35:L38" si="31">+K35</f>
        <v>0</v>
      </c>
      <c r="M35" s="76">
        <f>+$D$35*L35</f>
        <v>0</v>
      </c>
      <c r="N35" s="76">
        <f>+IF(FISH_FIELD!$H21="",0,IF(FISH_FIELD!$H21=1,0,1))</f>
        <v>0</v>
      </c>
      <c r="O35" s="76">
        <f t="shared" ref="O35:O38" si="32">+N35</f>
        <v>0</v>
      </c>
      <c r="P35" s="76">
        <f>+$D$35*O35</f>
        <v>0</v>
      </c>
      <c r="Q35" s="76">
        <f>+IF(FISH_FIELD!$I21="",0,IF(FISH_FIELD!$I21=1,0,1))</f>
        <v>0</v>
      </c>
      <c r="R35" s="76">
        <f t="shared" ref="R35:R38" si="33">+Q35</f>
        <v>0</v>
      </c>
      <c r="S35" s="76">
        <f>+$D$35*R35</f>
        <v>0</v>
      </c>
      <c r="T35" s="76">
        <f>+IF(FISH_FIELD!$J21="",0,IF(FISH_FIELD!$J21=1,0,1))</f>
        <v>0</v>
      </c>
      <c r="U35" s="76">
        <f t="shared" ref="U35:U38" si="34">+T35</f>
        <v>0</v>
      </c>
      <c r="V35" s="76">
        <f>+$D$35*U35</f>
        <v>0</v>
      </c>
      <c r="W35" s="76">
        <f>+IF(FISH_FIELD!$K21="",0,IF(FISH_FIELD!$K21=1,0,1))</f>
        <v>0</v>
      </c>
      <c r="X35" s="76">
        <f t="shared" ref="X35:X38" si="35">+W35</f>
        <v>0</v>
      </c>
      <c r="Y35" s="76">
        <f>+$D$35*X35</f>
        <v>0</v>
      </c>
      <c r="Z35" s="76">
        <f>+IF(FISH_FIELD!$L21="",0,IF(FISH_FIELD!$L21=1,0,1))</f>
        <v>0</v>
      </c>
      <c r="AA35" s="76">
        <f t="shared" ref="AA35:AA38" si="36">+Z35</f>
        <v>0</v>
      </c>
      <c r="AB35" s="76">
        <f>+$D$35*AA35</f>
        <v>0</v>
      </c>
      <c r="AC35" s="76">
        <f>+IF(FISH_FIELD!$M21="",0,IF(FISH_FIELD!$M21=1,0,1))</f>
        <v>0</v>
      </c>
      <c r="AD35" s="76">
        <f t="shared" ref="AD35:AD38" si="37">+AC35</f>
        <v>0</v>
      </c>
      <c r="AE35" s="76">
        <f>+$D$35*AD35</f>
        <v>0</v>
      </c>
      <c r="AF35" s="76">
        <f>+IF(FISH_FIELD!$N21="",0,IF(FISH_FIELD!$N21=1,0,1))</f>
        <v>0</v>
      </c>
      <c r="AG35" s="76">
        <f t="shared" ref="AG35:AG38" si="38">+AF35</f>
        <v>0</v>
      </c>
      <c r="AH35" s="76">
        <f>+$D$35*AG35</f>
        <v>0</v>
      </c>
    </row>
    <row r="36" spans="1:34" s="947" customFormat="1" ht="31.5" customHeight="1" x14ac:dyDescent="0.2">
      <c r="A36" s="1232"/>
      <c r="B36" s="330">
        <v>15</v>
      </c>
      <c r="C36" s="75" t="s">
        <v>721</v>
      </c>
      <c r="D36" s="76">
        <v>2</v>
      </c>
      <c r="E36" s="76">
        <f>IF(FISH_FIELD!$E22="",0,(1-FISH_FIELD!$E22))</f>
        <v>0</v>
      </c>
      <c r="F36" s="76">
        <f t="shared" si="29"/>
        <v>0</v>
      </c>
      <c r="G36" s="76">
        <f>+$D$36*F36</f>
        <v>0</v>
      </c>
      <c r="H36" s="76">
        <f>IF(FISH_FIELD!$F22="",0,(1-FISH_FIELD!$F22))</f>
        <v>0</v>
      </c>
      <c r="I36" s="76">
        <f t="shared" si="30"/>
        <v>0</v>
      </c>
      <c r="J36" s="76">
        <f>+$D$36*I36</f>
        <v>0</v>
      </c>
      <c r="K36" s="76">
        <f>IF(FISH_FIELD!$G22="",0,(1-FISH_FIELD!$G22))</f>
        <v>0</v>
      </c>
      <c r="L36" s="76">
        <f t="shared" si="31"/>
        <v>0</v>
      </c>
      <c r="M36" s="76">
        <f>+$D$36*L36</f>
        <v>0</v>
      </c>
      <c r="N36" s="76">
        <f>IF(FISH_FIELD!$H22="",0,(1-FISH_FIELD!$H22))</f>
        <v>0</v>
      </c>
      <c r="O36" s="76">
        <f t="shared" si="32"/>
        <v>0</v>
      </c>
      <c r="P36" s="76">
        <f>+$D$36*O36</f>
        <v>0</v>
      </c>
      <c r="Q36" s="76">
        <f>IF(FISH_FIELD!$I22="",0,(1-FISH_FIELD!$I22))</f>
        <v>0</v>
      </c>
      <c r="R36" s="76">
        <f t="shared" si="33"/>
        <v>0</v>
      </c>
      <c r="S36" s="76">
        <f>+$D$36*R36</f>
        <v>0</v>
      </c>
      <c r="T36" s="76">
        <f>IF(FISH_FIELD!$J22="",0,(1-FISH_FIELD!$J22))</f>
        <v>0</v>
      </c>
      <c r="U36" s="76">
        <f t="shared" si="34"/>
        <v>0</v>
      </c>
      <c r="V36" s="76">
        <f>+$D$36*U36</f>
        <v>0</v>
      </c>
      <c r="W36" s="76">
        <f>IF(FISH_FIELD!$K22="",0,(1-FISH_FIELD!$K22))</f>
        <v>0</v>
      </c>
      <c r="X36" s="76">
        <f t="shared" si="35"/>
        <v>0</v>
      </c>
      <c r="Y36" s="76">
        <f>+$D$36*X36</f>
        <v>0</v>
      </c>
      <c r="Z36" s="76">
        <f>IF(FISH_FIELD!$L22="",0,(1-FISH_FIELD!$L22))</f>
        <v>0</v>
      </c>
      <c r="AA36" s="76">
        <f t="shared" si="36"/>
        <v>0</v>
      </c>
      <c r="AB36" s="76">
        <f>+$D$36*AA36</f>
        <v>0</v>
      </c>
      <c r="AC36" s="76">
        <f>IF(FISH_FIELD!$M22="",0,(1-FISH_FIELD!$M22))</f>
        <v>0</v>
      </c>
      <c r="AD36" s="76">
        <f t="shared" si="37"/>
        <v>0</v>
      </c>
      <c r="AE36" s="76">
        <f>+$D$36*AD36</f>
        <v>0</v>
      </c>
      <c r="AF36" s="76">
        <f>IF(FISH_FIELD!$N22="",0,(1-FISH_FIELD!$N22))</f>
        <v>0</v>
      </c>
      <c r="AG36" s="76">
        <f t="shared" si="38"/>
        <v>0</v>
      </c>
      <c r="AH36" s="76">
        <f>+$D$36*AG36</f>
        <v>0</v>
      </c>
    </row>
    <row r="37" spans="1:34" s="947" customFormat="1" ht="51" customHeight="1" x14ac:dyDescent="0.2">
      <c r="A37" s="1232"/>
      <c r="B37" s="330">
        <v>16</v>
      </c>
      <c r="C37" s="75" t="s">
        <v>224</v>
      </c>
      <c r="D37" s="76">
        <v>2</v>
      </c>
      <c r="E37" s="76">
        <f>+FISH_FIELD!$E24</f>
        <v>0</v>
      </c>
      <c r="F37" s="76">
        <f t="shared" si="29"/>
        <v>0</v>
      </c>
      <c r="G37" s="76">
        <f>+$D$37*F37</f>
        <v>0</v>
      </c>
      <c r="H37" s="76">
        <f>+FISH_FIELD!$F24</f>
        <v>0</v>
      </c>
      <c r="I37" s="76">
        <f t="shared" si="30"/>
        <v>0</v>
      </c>
      <c r="J37" s="76">
        <f>+$D$37*I37</f>
        <v>0</v>
      </c>
      <c r="K37" s="76">
        <f>+FISH_FIELD!$G24</f>
        <v>0</v>
      </c>
      <c r="L37" s="76">
        <f t="shared" si="31"/>
        <v>0</v>
      </c>
      <c r="M37" s="76">
        <f>+$D$37*L37</f>
        <v>0</v>
      </c>
      <c r="N37" s="76">
        <f>+FISH_FIELD!$H24</f>
        <v>0</v>
      </c>
      <c r="O37" s="76">
        <f t="shared" si="32"/>
        <v>0</v>
      </c>
      <c r="P37" s="76">
        <f>+$D$37*O37</f>
        <v>0</v>
      </c>
      <c r="Q37" s="76">
        <f>+FISH_FIELD!$I24</f>
        <v>0</v>
      </c>
      <c r="R37" s="76">
        <f t="shared" si="33"/>
        <v>0</v>
      </c>
      <c r="S37" s="76">
        <f>+$D$37*R37</f>
        <v>0</v>
      </c>
      <c r="T37" s="76">
        <f>+FISH_FIELD!$J24</f>
        <v>0</v>
      </c>
      <c r="U37" s="76">
        <f t="shared" si="34"/>
        <v>0</v>
      </c>
      <c r="V37" s="76">
        <f>+$D$37*U37</f>
        <v>0</v>
      </c>
      <c r="W37" s="76">
        <f>+FISH_FIELD!$K24</f>
        <v>0</v>
      </c>
      <c r="X37" s="76">
        <f t="shared" si="35"/>
        <v>0</v>
      </c>
      <c r="Y37" s="76">
        <f>+$D$37*X37</f>
        <v>0</v>
      </c>
      <c r="Z37" s="76">
        <f>+FISH_FIELD!$L24</f>
        <v>0</v>
      </c>
      <c r="AA37" s="76">
        <f t="shared" si="36"/>
        <v>0</v>
      </c>
      <c r="AB37" s="76">
        <f>+$D$37*AA37</f>
        <v>0</v>
      </c>
      <c r="AC37" s="76">
        <f>+FISH_FIELD!$M24</f>
        <v>0</v>
      </c>
      <c r="AD37" s="76">
        <f t="shared" si="37"/>
        <v>0</v>
      </c>
      <c r="AE37" s="76">
        <f>+$D$37*AD37</f>
        <v>0</v>
      </c>
      <c r="AF37" s="76">
        <f>+FISH_FIELD!$N24</f>
        <v>0</v>
      </c>
      <c r="AG37" s="76">
        <f t="shared" si="38"/>
        <v>0</v>
      </c>
      <c r="AH37" s="76">
        <f>+$D$37*AG37</f>
        <v>0</v>
      </c>
    </row>
    <row r="38" spans="1:34" s="947" customFormat="1" ht="42.75" customHeight="1" x14ac:dyDescent="0.2">
      <c r="A38" s="1232"/>
      <c r="B38" s="330">
        <v>17</v>
      </c>
      <c r="C38" s="75" t="s">
        <v>225</v>
      </c>
      <c r="D38" s="76">
        <v>2</v>
      </c>
      <c r="E38" s="76">
        <f>+FISH_FIELD!$E25</f>
        <v>0</v>
      </c>
      <c r="F38" s="76">
        <f t="shared" si="29"/>
        <v>0</v>
      </c>
      <c r="G38" s="76">
        <f>+$D$38*F38</f>
        <v>0</v>
      </c>
      <c r="H38" s="76">
        <f>+FISH_FIELD!$F25</f>
        <v>0</v>
      </c>
      <c r="I38" s="76">
        <f t="shared" si="30"/>
        <v>0</v>
      </c>
      <c r="J38" s="76">
        <f>+$D$38*I38</f>
        <v>0</v>
      </c>
      <c r="K38" s="76">
        <f>+FISH_FIELD!$G25</f>
        <v>0</v>
      </c>
      <c r="L38" s="76">
        <f t="shared" si="31"/>
        <v>0</v>
      </c>
      <c r="M38" s="76">
        <f>+$D$38*L38</f>
        <v>0</v>
      </c>
      <c r="N38" s="76">
        <f>+FISH_FIELD!$H25</f>
        <v>0</v>
      </c>
      <c r="O38" s="76">
        <f t="shared" si="32"/>
        <v>0</v>
      </c>
      <c r="P38" s="76">
        <f>+$D$38*O38</f>
        <v>0</v>
      </c>
      <c r="Q38" s="76">
        <f>+FISH_FIELD!$I25</f>
        <v>0</v>
      </c>
      <c r="R38" s="76">
        <f t="shared" si="33"/>
        <v>0</v>
      </c>
      <c r="S38" s="76">
        <f>+$D$38*R38</f>
        <v>0</v>
      </c>
      <c r="T38" s="76">
        <f>+FISH_FIELD!$J25</f>
        <v>0</v>
      </c>
      <c r="U38" s="76">
        <f t="shared" si="34"/>
        <v>0</v>
      </c>
      <c r="V38" s="76">
        <f>+$D$38*U38</f>
        <v>0</v>
      </c>
      <c r="W38" s="76">
        <f>+FISH_FIELD!$K25</f>
        <v>0</v>
      </c>
      <c r="X38" s="76">
        <f t="shared" si="35"/>
        <v>0</v>
      </c>
      <c r="Y38" s="76">
        <f>+$D$38*X38</f>
        <v>0</v>
      </c>
      <c r="Z38" s="76">
        <f>+FISH_FIELD!$L25</f>
        <v>0</v>
      </c>
      <c r="AA38" s="76">
        <f t="shared" si="36"/>
        <v>0</v>
      </c>
      <c r="AB38" s="76">
        <f>+$D$38*AA38</f>
        <v>0</v>
      </c>
      <c r="AC38" s="76">
        <f>+FISH_FIELD!$M25</f>
        <v>0</v>
      </c>
      <c r="AD38" s="76">
        <f t="shared" si="37"/>
        <v>0</v>
      </c>
      <c r="AE38" s="76">
        <f>+$D$38*AD38</f>
        <v>0</v>
      </c>
      <c r="AF38" s="76">
        <f>+FISH_FIELD!$N25</f>
        <v>0</v>
      </c>
      <c r="AG38" s="76">
        <f t="shared" si="38"/>
        <v>0</v>
      </c>
      <c r="AH38" s="76">
        <f>+$D$38*AG38</f>
        <v>0</v>
      </c>
    </row>
    <row r="39" spans="1:34" s="145" customFormat="1" ht="29.25" customHeight="1" x14ac:dyDescent="0.2">
      <c r="A39" s="1232"/>
      <c r="B39" s="331" t="s">
        <v>233</v>
      </c>
      <c r="C39" s="338"/>
      <c r="D39" s="1115">
        <f>SUM(D34:D38)</f>
        <v>10</v>
      </c>
      <c r="E39" s="76"/>
      <c r="F39" s="76"/>
      <c r="G39" s="984">
        <f>+(SUM(G34:G38))/$D39</f>
        <v>0</v>
      </c>
      <c r="H39" s="76"/>
      <c r="I39" s="76"/>
      <c r="J39" s="984">
        <f>+(SUM(J34:J38))/$D39</f>
        <v>0</v>
      </c>
      <c r="K39" s="76"/>
      <c r="L39" s="76"/>
      <c r="M39" s="984">
        <f>+(SUM(M34:M38))/$D39</f>
        <v>0</v>
      </c>
      <c r="N39" s="76"/>
      <c r="O39" s="76"/>
      <c r="P39" s="984">
        <f>+(SUM(P34:P38))/$D39</f>
        <v>0</v>
      </c>
      <c r="Q39" s="76"/>
      <c r="R39" s="76"/>
      <c r="S39" s="984">
        <f>+(SUM(S34:S38))/$D39</f>
        <v>0</v>
      </c>
      <c r="T39" s="76"/>
      <c r="U39" s="76"/>
      <c r="V39" s="984">
        <f>+(SUM(V34:V38))/$D39</f>
        <v>0</v>
      </c>
      <c r="W39" s="76"/>
      <c r="X39" s="76"/>
      <c r="Y39" s="984">
        <f>+(SUM(Y34:Y38))/$D39</f>
        <v>0</v>
      </c>
      <c r="Z39" s="76"/>
      <c r="AA39" s="76"/>
      <c r="AB39" s="984">
        <f>+(SUM(AB34:AB38))/$D39</f>
        <v>0</v>
      </c>
      <c r="AC39" s="76"/>
      <c r="AD39" s="76"/>
      <c r="AE39" s="984">
        <f>+(SUM(AE34:AE38))/$D39</f>
        <v>0</v>
      </c>
      <c r="AF39" s="76"/>
      <c r="AG39" s="76"/>
      <c r="AH39" s="984">
        <f>+(SUM(AH34:AH38))/$D39</f>
        <v>0</v>
      </c>
    </row>
    <row r="40" spans="1:34" x14ac:dyDescent="0.2">
      <c r="A40" s="146"/>
      <c r="B40" s="986" t="s">
        <v>775</v>
      </c>
      <c r="C40" s="339"/>
      <c r="D40" s="147">
        <f>+SUM(D21, D29, D33, D39)</f>
        <v>74</v>
      </c>
      <c r="E40" s="357"/>
      <c r="F40" s="147"/>
      <c r="G40" s="985">
        <f>+(SUM($D21*G21+$D29*G29+$D33*G33+$D39*G39))/$D40</f>
        <v>0</v>
      </c>
      <c r="H40" s="357"/>
      <c r="I40" s="147"/>
      <c r="J40" s="985">
        <f>+(SUM($D21*J21+$D29*J29+$D33*J33+$D39*J39))/$D40</f>
        <v>0</v>
      </c>
      <c r="K40" s="357"/>
      <c r="L40" s="147"/>
      <c r="M40" s="985">
        <f>+(SUM($D21*M21+$D29*M29+$D33*M33+$D39*M39))/$D40</f>
        <v>0</v>
      </c>
      <c r="N40" s="357"/>
      <c r="O40" s="147"/>
      <c r="P40" s="985">
        <f>+(SUM($D21*P21+$D29*P29+$D33*P33+$D39*P39))/$D40</f>
        <v>0</v>
      </c>
      <c r="Q40" s="357"/>
      <c r="R40" s="147"/>
      <c r="S40" s="985">
        <f>+(SUM($D21*S21+$D29*S29+$D33*S33+$D39*S39))/$D40</f>
        <v>0</v>
      </c>
      <c r="T40" s="357"/>
      <c r="U40" s="147"/>
      <c r="V40" s="985">
        <f>+(SUM($D21*V21+$D29*V29+$D33*V33+$D39*V39))/$D40</f>
        <v>0</v>
      </c>
      <c r="W40" s="357"/>
      <c r="X40" s="147"/>
      <c r="Y40" s="985">
        <f>+(SUM($D21*Y21+$D29*Y29+$D33*Y33+$D39*Y39))/$D40</f>
        <v>0</v>
      </c>
      <c r="Z40" s="357"/>
      <c r="AA40" s="147"/>
      <c r="AB40" s="985">
        <f>+(SUM($D21*AB21+$D29*AB29+$D33*AB33+$D39*AB39))/$D40</f>
        <v>0</v>
      </c>
      <c r="AC40" s="357"/>
      <c r="AD40" s="147"/>
      <c r="AE40" s="985">
        <f>+(SUM($D21*AE21+$D29*AE29+$D33*AE33+$D39*AE39))/$D40</f>
        <v>0</v>
      </c>
      <c r="AF40" s="357"/>
      <c r="AG40" s="147"/>
      <c r="AH40" s="985">
        <f>+(SUM($D21*AH21+$D29*AH29+$D33*AH33+$D39*AH39))/$D40</f>
        <v>0</v>
      </c>
    </row>
    <row r="41" spans="1:34" ht="15.75" x14ac:dyDescent="0.25">
      <c r="A41" s="319"/>
      <c r="B41" s="993" t="s">
        <v>772</v>
      </c>
      <c r="C41" s="987"/>
      <c r="D41" s="988"/>
      <c r="E41" s="316" t="s">
        <v>27</v>
      </c>
      <c r="F41" s="989"/>
      <c r="G41" s="996" t="str">
        <f>IF(E18="","",IFERROR(F16*G40/F16,""))</f>
        <v/>
      </c>
      <c r="H41" s="316" t="s">
        <v>27</v>
      </c>
      <c r="I41" s="989"/>
      <c r="J41" s="996" t="str">
        <f>IF(H18="","",IFERROR((F16*G40+I16*J40)/(F16+I16),""))</f>
        <v/>
      </c>
      <c r="K41" s="316" t="s">
        <v>27</v>
      </c>
      <c r="L41" s="989"/>
      <c r="M41" s="996" t="str">
        <f>IF(K18="","",IFERROR((F16*G40+I16*J40+L16*M40)/(F16+I16+L16),""))</f>
        <v/>
      </c>
      <c r="N41" s="316" t="s">
        <v>27</v>
      </c>
      <c r="O41" s="989"/>
      <c r="P41" s="996" t="str">
        <f>IF(N18="","",IFERROR((F16*G40+I16*J40+L16*M40+O16*P40)/(F16+I16+L16+O16),""))</f>
        <v/>
      </c>
      <c r="Q41" s="316" t="s">
        <v>27</v>
      </c>
      <c r="R41" s="989"/>
      <c r="S41" s="996" t="str">
        <f>IF(Q18="","",IFERROR((F16*G40+I16*J40+L16*M40+O16*P40+R16*S40)/(F16+I16+L16+O16+R16),""))</f>
        <v/>
      </c>
      <c r="T41" s="316" t="s">
        <v>27</v>
      </c>
      <c r="U41" s="989"/>
      <c r="V41" s="996" t="str">
        <f>IF(T18="","",IFERROR((F16*G40+I16*J40+L16*M40+O16*P40+R16*S40+U16*V40)/(F16+I16+L16+O16+R16+U16),""))</f>
        <v/>
      </c>
      <c r="W41" s="316" t="s">
        <v>27</v>
      </c>
      <c r="X41" s="989"/>
      <c r="Y41" s="996" t="str">
        <f>IF(W18="","",IFERROR((F16*G40+I16*J40+L16*M40+O16*P40+R16*S40+U16*V40+X16*Y40)/(F16+I16+L16+O16+R16+U16+X16),""))</f>
        <v/>
      </c>
      <c r="Z41" s="316" t="s">
        <v>27</v>
      </c>
      <c r="AA41" s="989"/>
      <c r="AB41" s="996" t="str">
        <f>IF(Z18="","",IFERROR((F16*G40+I16*J40+L16*M40+O16*P40+R16*S40+U16*V40+X16*Y40+AA16*AB40)/(F16+I16+L16+O16+R16+U16+X16+AA16),""))</f>
        <v/>
      </c>
      <c r="AC41" s="316" t="s">
        <v>27</v>
      </c>
      <c r="AD41" s="989"/>
      <c r="AE41" s="996" t="str">
        <f>IF(AC18="","",IFERROR((F16*G40+I16*J40+L16*M40+O16*P40+R16*S40+U16*V40+X16*Y40+AA16*AB40+AD16*AE40)/(F16+I16+L16+O16+R16+U16+X16+AA16+AD16),""))</f>
        <v/>
      </c>
      <c r="AF41" s="316" t="s">
        <v>27</v>
      </c>
      <c r="AG41" s="989"/>
      <c r="AH41" s="996" t="str">
        <f>IF(AF18="","",IFERROR((F16*G40+I16*J40+L16*M40+O16*P40+R16*S40+U16*V40+X16*Y40+AA16*AB40+AD16*AE40+AG16*AH40)/(F16+I16+L16+O16+R16+U16+X16+AA16+AD16+AG16),""))</f>
        <v/>
      </c>
    </row>
    <row r="42" spans="1:34" ht="15.75" x14ac:dyDescent="0.25">
      <c r="A42" s="320"/>
      <c r="B42" s="994" t="s">
        <v>771</v>
      </c>
      <c r="C42" s="990"/>
      <c r="D42" s="991"/>
      <c r="E42" s="318"/>
      <c r="F42" s="992"/>
      <c r="G42" s="997" t="str">
        <f>++IFERROR($F$14*0.6+G41*0.4,"")</f>
        <v/>
      </c>
      <c r="H42" s="318"/>
      <c r="I42" s="992"/>
      <c r="J42" s="997" t="str">
        <f>++IFERROR($F$14*0.6+J41*0.4,"")</f>
        <v/>
      </c>
      <c r="K42" s="318"/>
      <c r="L42" s="992"/>
      <c r="M42" s="997" t="str">
        <f>++IFERROR($F$14*0.6+M41*0.4,"")</f>
        <v/>
      </c>
      <c r="N42" s="318"/>
      <c r="O42" s="992"/>
      <c r="P42" s="997" t="str">
        <f>++IFERROR($F$14*0.6+P41*0.4,"")</f>
        <v/>
      </c>
      <c r="Q42" s="318"/>
      <c r="R42" s="992"/>
      <c r="S42" s="997" t="str">
        <f>++IFERROR($F$14*0.6+S41*0.4,"")</f>
        <v/>
      </c>
      <c r="T42" s="318"/>
      <c r="U42" s="992"/>
      <c r="V42" s="997" t="str">
        <f>++IFERROR($F$14*0.6+V41*0.4,"")</f>
        <v/>
      </c>
      <c r="W42" s="318"/>
      <c r="X42" s="992"/>
      <c r="Y42" s="997" t="str">
        <f>++IFERROR($F$14*0.6+Y41*0.4,"")</f>
        <v/>
      </c>
      <c r="Z42" s="318"/>
      <c r="AA42" s="992"/>
      <c r="AB42" s="997" t="str">
        <f>++IFERROR($F$14*0.6+AB41*0.4,"")</f>
        <v/>
      </c>
      <c r="AC42" s="318"/>
      <c r="AD42" s="992"/>
      <c r="AE42" s="997" t="str">
        <f>++IFERROR($F$14*0.6+AE41*0.4,"")</f>
        <v/>
      </c>
      <c r="AF42" s="318"/>
      <c r="AG42" s="992"/>
      <c r="AH42" s="997" t="str">
        <f>++IFERROR($F$14*0.6+AH41*0.4,"")</f>
        <v/>
      </c>
    </row>
    <row r="43" spans="1:34" ht="15.75" customHeight="1" x14ac:dyDescent="0.2">
      <c r="A43" s="71"/>
      <c r="B43" s="327"/>
      <c r="C43" s="336"/>
      <c r="D43" s="72"/>
      <c r="E43" s="322"/>
      <c r="F43" s="72"/>
      <c r="G43" s="72"/>
      <c r="H43" s="322"/>
      <c r="I43" s="72"/>
      <c r="J43" s="72"/>
      <c r="K43" s="322"/>
      <c r="L43" s="72"/>
      <c r="M43" s="72"/>
      <c r="N43" s="322"/>
      <c r="O43" s="72"/>
      <c r="P43" s="72"/>
      <c r="Q43" s="322"/>
      <c r="R43" s="72"/>
      <c r="S43" s="72"/>
      <c r="T43" s="322"/>
      <c r="U43" s="72"/>
      <c r="V43" s="72"/>
      <c r="W43" s="322"/>
      <c r="X43" s="72"/>
      <c r="Y43" s="72"/>
      <c r="Z43" s="322"/>
      <c r="AA43" s="72"/>
      <c r="AB43" s="72"/>
      <c r="AC43" s="322"/>
      <c r="AD43" s="72"/>
      <c r="AE43" s="72"/>
      <c r="AF43" s="322"/>
      <c r="AG43" s="72"/>
      <c r="AH43" s="72"/>
    </row>
  </sheetData>
  <mergeCells count="9">
    <mergeCell ref="A1:F1"/>
    <mergeCell ref="A34:A39"/>
    <mergeCell ref="A2:C3"/>
    <mergeCell ref="A7:A8"/>
    <mergeCell ref="A12:A13"/>
    <mergeCell ref="A19:A21"/>
    <mergeCell ref="A22:A29"/>
    <mergeCell ref="A30:A33"/>
    <mergeCell ref="B33:C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README</vt:lpstr>
      <vt:lpstr>SUMMARY_SCORES</vt:lpstr>
      <vt:lpstr>VEG_DATA</vt:lpstr>
      <vt:lpstr>Bird_Office</vt:lpstr>
      <vt:lpstr>Bird_Field</vt:lpstr>
      <vt:lpstr>Bird_Score</vt:lpstr>
      <vt:lpstr>FISH_OFFICE</vt:lpstr>
      <vt:lpstr>FISH_FIELD</vt:lpstr>
      <vt:lpstr>FISH_SCORE</vt:lpstr>
      <vt:lpstr>FLOOD_OFFICE</vt:lpstr>
      <vt:lpstr>FLOOD_FIELD</vt:lpstr>
      <vt:lpstr>FLOOD_SCORE</vt:lpstr>
      <vt:lpstr>Veg_Parameters</vt:lpstr>
      <vt:lpstr>FloodAttenLSLandUse</vt:lpstr>
      <vt:lpstr>Sheet1</vt:lpstr>
      <vt:lpstr>Sheet3</vt:lpstr>
      <vt:lpstr>Sheet4</vt:lpstr>
      <vt:lpstr>Veg_Parameters!_ftn1</vt:lpstr>
      <vt:lpstr>Bird_Field!Print_Area</vt:lpstr>
      <vt:lpstr>Bird_Office!Print_Area</vt:lpstr>
      <vt:lpstr>Bird_Score!Print_Area</vt:lpstr>
      <vt:lpstr>VEG_DATA!Print_Area</vt:lpstr>
      <vt:lpstr>Veg_Parameters!Print_Area</vt:lpstr>
      <vt:lpstr>Bird_Score!Print_Titles</vt:lpstr>
    </vt:vector>
  </TitlesOfParts>
  <Company>Stillwater Sciences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Merrill</dc:creator>
  <cp:lastModifiedBy>Amy Merrill</cp:lastModifiedBy>
  <cp:lastPrinted>2014-05-26T19:32:09Z</cp:lastPrinted>
  <dcterms:created xsi:type="dcterms:W3CDTF">2011-08-10T23:02:53Z</dcterms:created>
  <dcterms:modified xsi:type="dcterms:W3CDTF">2014-09-12T17:57:38Z</dcterms:modified>
</cp:coreProperties>
</file>